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mc:AlternateContent xmlns:mc="http://schemas.openxmlformats.org/markup-compatibility/2006">
    <mc:Choice Requires="x15">
      <x15ac:absPath xmlns:x15ac="http://schemas.microsoft.com/office/spreadsheetml/2010/11/ac" url="/Users/patilramya/Bringup/VCF/glcm-sos/cloud_admin_tools/JsonGenerator/sample/"/>
    </mc:Choice>
  </mc:AlternateContent>
  <xr:revisionPtr revIDLastSave="0" documentId="13_ncr:1_{2A5D4726-1B31-E947-A74E-025B95CF3499}" xr6:coauthVersionLast="40" xr6:coauthVersionMax="40" xr10:uidLastSave="{00000000-0000-0000-0000-000000000000}"/>
  <bookViews>
    <workbookView xWindow="0" yWindow="460" windowWidth="28800" windowHeight="16100" tabRatio="932" xr2:uid="{00000000-000D-0000-FFFF-FFFF00000000}"/>
  </bookViews>
  <sheets>
    <sheet name="Prerequisite Checklist" sheetId="22" r:id="rId1"/>
    <sheet name="Management Workloads" sheetId="17" r:id="rId2"/>
    <sheet name="Users and Groups" sheetId="15" r:id="rId3"/>
    <sheet name="Hosts and Networks" sheetId="4" r:id="rId4"/>
    <sheet name="Deploy Parameters" sheetId="2" r:id="rId5"/>
    <sheet name="vRA Configuration" sheetId="26" r:id="rId6"/>
    <sheet name="Run Parameters" sheetId="23" r:id="rId7"/>
    <sheet name="Lookup_Lists" sheetId="32" state="hidden" r:id="rId8"/>
    <sheet name="CertConfig" sheetId="30" r:id="rId9"/>
    <sheet name="Config_File_Build" sheetId="16" state="hidden" r:id="rId10"/>
    <sheet name="Change Log" sheetId="31" state="hidden" r:id="rId11"/>
  </sheets>
  <externalReferences>
    <externalReference r:id="rId12"/>
  </externalReferences>
  <definedNames>
    <definedName name="Authentication" localSheetId="0">#REF!</definedName>
    <definedName name="Authentication" localSheetId="5">#REF!</definedName>
    <definedName name="Authentication">#REF!</definedName>
    <definedName name="Configuration_Mode" localSheetId="0">#REF!</definedName>
    <definedName name="Configuration_Mode" localSheetId="5">#REF!</definedName>
    <definedName name="Configuration_Mode">#REF!</definedName>
    <definedName name="Database_Type" localSheetId="0">#REF!</definedName>
    <definedName name="Database_Type" localSheetId="5">#REF!</definedName>
    <definedName name="Database_Type">#REF!</definedName>
    <definedName name="EVC_Settings">Lookup_Lists!$F$2:$F$15</definedName>
    <definedName name="_xlnm.Print_Area" localSheetId="4">'Deploy Parameters'!$B$1:$D$150</definedName>
    <definedName name="_xlnm.Print_Area" localSheetId="2">'Users and Groups'!$B$1:$B$1</definedName>
    <definedName name="_xlnm.Print_Area" localSheetId="5">'vRA Configuration'!$B$1:$B$4</definedName>
    <definedName name="SRM_Certificates" localSheetId="1">#REF!</definedName>
    <definedName name="SRM_Certificates" localSheetId="0">#REF!</definedName>
    <definedName name="SRM_Certificates" localSheetId="5">#REF!</definedName>
    <definedName name="SRM_Certificates">#REF!</definedName>
    <definedName name="SSL_Policy" localSheetId="1">#REF!</definedName>
    <definedName name="SSL_Policy" localSheetId="0">#REF!</definedName>
    <definedName name="SSL_Policy" localSheetId="5">#REF!</definedName>
    <definedName name="SSL_Policy">#REF!</definedName>
    <definedName name="System_Type" localSheetId="1">#REF!</definedName>
    <definedName name="System_Type" localSheetId="0">#REF!</definedName>
    <definedName name="System_Type" localSheetId="5">#REF!</definedName>
    <definedName name="System_Type">#REF!</definedName>
    <definedName name="Timezone_Index" localSheetId="10">[1]Lookup_Lists!$C$2:$C$76</definedName>
    <definedName name="Timezone_Index" localSheetId="7">Lookup_Lists!$C$2:$C$76</definedName>
    <definedName name="Timezone_Index">Lookup_Lists!$C$2:$C$76</definedName>
    <definedName name="valuevx">42.314159</definedName>
    <definedName name="VR_Database_Type" localSheetId="1">#REF!</definedName>
    <definedName name="VR_Database_Type" localSheetId="0">#REF!</definedName>
    <definedName name="VR_Database_Type" localSheetId="5">#REF!</definedName>
    <definedName name="VR_Database_Type">#REF!</definedName>
    <definedName name="vRB_Currencies" localSheetId="10">[1]Lookup_Lists!$A$2:$A$131</definedName>
    <definedName name="vRB_Currencies" localSheetId="7">Lookup_Lists!$A$2:$A$131</definedName>
    <definedName name="vRB_Currencies">Lookup_Lists!$A$2:$A$131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2" i="2" l="1"/>
  <c r="A14" i="16" l="1"/>
  <c r="A13" i="16"/>
  <c r="J182" i="2" l="1"/>
  <c r="A496" i="16" s="1"/>
  <c r="E11" i="26" l="1"/>
  <c r="F14" i="4" l="1"/>
  <c r="F15" i="4"/>
  <c r="F159" i="2" l="1"/>
  <c r="F55" i="2"/>
  <c r="F54" i="2"/>
  <c r="F13" i="2"/>
  <c r="A445" i="16" l="1"/>
  <c r="H35" i="17" l="1"/>
  <c r="E28" i="17"/>
  <c r="F28" i="17"/>
  <c r="G28" i="17"/>
  <c r="A865" i="16"/>
  <c r="F172" i="2" l="1"/>
  <c r="B35" i="17" s="1"/>
  <c r="A878" i="16" l="1"/>
  <c r="A744" i="16"/>
  <c r="A743" i="16"/>
  <c r="A741" i="16"/>
  <c r="B172" i="2"/>
  <c r="A66" i="16" l="1"/>
  <c r="A876" i="16" l="1"/>
  <c r="A875" i="16"/>
  <c r="A874" i="16"/>
  <c r="A873" i="16"/>
  <c r="A872" i="16"/>
  <c r="A877" i="16"/>
  <c r="A869" i="16"/>
  <c r="A868" i="16"/>
  <c r="A862" i="16"/>
  <c r="A882" i="16"/>
  <c r="A881" i="16"/>
  <c r="A879" i="16"/>
  <c r="A4" i="16"/>
  <c r="J14" i="2" l="1"/>
  <c r="A514" i="16" l="1"/>
  <c r="A773" i="16" l="1"/>
  <c r="A766" i="16" l="1"/>
  <c r="A578" i="16" l="1"/>
  <c r="A577" i="16"/>
  <c r="A575" i="16"/>
  <c r="A574" i="16"/>
  <c r="A328" i="16" l="1"/>
  <c r="A327" i="16"/>
  <c r="A509" i="16" l="1"/>
  <c r="A508" i="16"/>
  <c r="J19" i="2" l="1"/>
  <c r="A37" i="16" s="1"/>
  <c r="A36" i="16"/>
  <c r="A35" i="16"/>
  <c r="B60" i="2" l="1"/>
  <c r="A503" i="16" l="1"/>
  <c r="A504" i="16"/>
  <c r="J160" i="2" l="1"/>
  <c r="A692" i="16" s="1"/>
  <c r="A618" i="16" l="1"/>
  <c r="A513" i="16"/>
  <c r="A3" i="16"/>
  <c r="A2" i="16"/>
  <c r="A606" i="16"/>
  <c r="A596" i="16"/>
  <c r="A638" i="16"/>
  <c r="A696" i="16"/>
  <c r="A697" i="16"/>
  <c r="A695" i="16"/>
  <c r="A694" i="16"/>
  <c r="A693" i="16"/>
  <c r="A850" i="16"/>
  <c r="F51" i="2"/>
  <c r="A486" i="16" s="1"/>
  <c r="A17" i="16"/>
  <c r="A511" i="16"/>
  <c r="A510" i="16"/>
  <c r="B111" i="2"/>
  <c r="A756" i="16"/>
  <c r="M14" i="30"/>
  <c r="M15" i="30"/>
  <c r="M16" i="30"/>
  <c r="M17" i="30"/>
  <c r="B17" i="30"/>
  <c r="O17" i="30" s="1"/>
  <c r="B16" i="30"/>
  <c r="O16" i="30" s="1"/>
  <c r="B15" i="30"/>
  <c r="O15" i="30" s="1"/>
  <c r="B14" i="30"/>
  <c r="O14" i="30" s="1"/>
  <c r="B13" i="30"/>
  <c r="O13" i="30" s="1"/>
  <c r="B31" i="2"/>
  <c r="B28" i="2"/>
  <c r="B14" i="2"/>
  <c r="B117" i="2"/>
  <c r="B141" i="2"/>
  <c r="B147" i="2"/>
  <c r="B155" i="2"/>
  <c r="B193" i="2"/>
  <c r="A848" i="16"/>
  <c r="F25" i="4"/>
  <c r="F24" i="4"/>
  <c r="A32" i="16"/>
  <c r="A413" i="16"/>
  <c r="A412" i="16"/>
  <c r="A411" i="16"/>
  <c r="A410" i="16"/>
  <c r="A391" i="16"/>
  <c r="A390" i="16"/>
  <c r="A389" i="16"/>
  <c r="A388" i="16"/>
  <c r="K67" i="17"/>
  <c r="K70" i="17" s="1"/>
  <c r="J46" i="17"/>
  <c r="F57" i="17"/>
  <c r="G57" i="17"/>
  <c r="E57" i="17"/>
  <c r="F45" i="17"/>
  <c r="G45" i="17"/>
  <c r="E45" i="17"/>
  <c r="F41" i="17"/>
  <c r="G41" i="17"/>
  <c r="E41" i="17"/>
  <c r="F36" i="17"/>
  <c r="G36" i="17"/>
  <c r="E36" i="17"/>
  <c r="H27" i="17"/>
  <c r="H26" i="17"/>
  <c r="A635" i="16"/>
  <c r="A634" i="16"/>
  <c r="A633" i="16"/>
  <c r="A548" i="16"/>
  <c r="A547" i="16"/>
  <c r="A546" i="16"/>
  <c r="A545" i="16"/>
  <c r="A544" i="16"/>
  <c r="A543" i="16"/>
  <c r="A542" i="16"/>
  <c r="A541" i="16"/>
  <c r="A540" i="16"/>
  <c r="A524" i="16"/>
  <c r="A234" i="16"/>
  <c r="A363" i="16"/>
  <c r="A362" i="16"/>
  <c r="A359" i="16"/>
  <c r="A358" i="16"/>
  <c r="A357" i="16"/>
  <c r="A356" i="16"/>
  <c r="A355" i="16"/>
  <c r="A200" i="16"/>
  <c r="A199" i="16"/>
  <c r="A198" i="16"/>
  <c r="A197" i="16"/>
  <c r="A196" i="16"/>
  <c r="A180" i="16"/>
  <c r="A179" i="16"/>
  <c r="A178" i="16"/>
  <c r="A177" i="16"/>
  <c r="A176" i="16"/>
  <c r="A169" i="16"/>
  <c r="A168" i="16"/>
  <c r="A167" i="16"/>
  <c r="A166" i="16"/>
  <c r="A165" i="16"/>
  <c r="A156" i="16"/>
  <c r="A154" i="16"/>
  <c r="A152" i="16"/>
  <c r="A150" i="16"/>
  <c r="A148" i="16"/>
  <c r="A155" i="16"/>
  <c r="A153" i="16"/>
  <c r="A151" i="16"/>
  <c r="A149" i="16"/>
  <c r="A147" i="16"/>
  <c r="A83" i="16"/>
  <c r="A80" i="16"/>
  <c r="A8" i="16"/>
  <c r="A10" i="16"/>
  <c r="A12" i="16"/>
  <c r="A15" i="16"/>
  <c r="A16" i="16"/>
  <c r="A21" i="16"/>
  <c r="A22" i="16"/>
  <c r="A24" i="16"/>
  <c r="A30" i="16"/>
  <c r="A31" i="16"/>
  <c r="A38" i="16"/>
  <c r="A42" i="16"/>
  <c r="A43" i="16"/>
  <c r="A48" i="16"/>
  <c r="A49" i="16"/>
  <c r="A53" i="16"/>
  <c r="A54" i="16"/>
  <c r="A57" i="16"/>
  <c r="A59" i="16"/>
  <c r="A61" i="16"/>
  <c r="A64" i="16"/>
  <c r="A69" i="16"/>
  <c r="A70" i="16"/>
  <c r="A72" i="16"/>
  <c r="A75" i="16"/>
  <c r="A76" i="16"/>
  <c r="A79" i="16"/>
  <c r="A82" i="16"/>
  <c r="A86" i="16"/>
  <c r="A87" i="16"/>
  <c r="A90" i="16"/>
  <c r="A91" i="16"/>
  <c r="A92" i="16"/>
  <c r="A93" i="16"/>
  <c r="A94" i="16"/>
  <c r="A95" i="16"/>
  <c r="A96" i="16"/>
  <c r="A97" i="16"/>
  <c r="A98" i="16"/>
  <c r="A99" i="16"/>
  <c r="A100" i="16"/>
  <c r="A101" i="16"/>
  <c r="A102" i="16"/>
  <c r="A103" i="16"/>
  <c r="A104" i="16"/>
  <c r="A105" i="16"/>
  <c r="A109" i="16"/>
  <c r="A110" i="16"/>
  <c r="A111" i="16"/>
  <c r="A112" i="16"/>
  <c r="A113" i="16"/>
  <c r="A114" i="16"/>
  <c r="A115" i="16"/>
  <c r="A116" i="16"/>
  <c r="A117" i="16"/>
  <c r="A118" i="16"/>
  <c r="A120" i="16"/>
  <c r="A121" i="16"/>
  <c r="A122" i="16"/>
  <c r="A123" i="16"/>
  <c r="A124" i="16"/>
  <c r="A125" i="16"/>
  <c r="A126" i="16"/>
  <c r="A127" i="16"/>
  <c r="A128" i="16"/>
  <c r="A129" i="16"/>
  <c r="A131" i="16"/>
  <c r="A132" i="16"/>
  <c r="A133" i="16"/>
  <c r="A134" i="16"/>
  <c r="A135" i="16"/>
  <c r="A136" i="16"/>
  <c r="A137" i="16"/>
  <c r="A138" i="16"/>
  <c r="A141" i="16"/>
  <c r="A142" i="16"/>
  <c r="A143" i="16"/>
  <c r="A144" i="16"/>
  <c r="A145" i="16"/>
  <c r="A146" i="16"/>
  <c r="A160" i="16"/>
  <c r="A161" i="16"/>
  <c r="A162" i="16"/>
  <c r="A163" i="16"/>
  <c r="A164" i="16"/>
  <c r="A171" i="16"/>
  <c r="A172" i="16"/>
  <c r="A173" i="16"/>
  <c r="A174" i="16"/>
  <c r="A175" i="16"/>
  <c r="A183" i="16"/>
  <c r="A184" i="16"/>
  <c r="A185" i="16"/>
  <c r="A186" i="16"/>
  <c r="A187" i="16"/>
  <c r="A188" i="16"/>
  <c r="A189" i="16"/>
  <c r="A190" i="16"/>
  <c r="A191" i="16"/>
  <c r="A193" i="16"/>
  <c r="A194" i="16"/>
  <c r="A195" i="16"/>
  <c r="A203" i="16"/>
  <c r="A204" i="16"/>
  <c r="A205" i="16"/>
  <c r="A206" i="16"/>
  <c r="A207" i="16"/>
  <c r="A210" i="16"/>
  <c r="A211" i="16"/>
  <c r="A212" i="16"/>
  <c r="A213" i="16"/>
  <c r="A214" i="16"/>
  <c r="A217" i="16"/>
  <c r="A218" i="16"/>
  <c r="A221" i="16"/>
  <c r="A222" i="16"/>
  <c r="A233" i="16"/>
  <c r="A241" i="16"/>
  <c r="A242" i="16"/>
  <c r="A243" i="16"/>
  <c r="A244" i="16"/>
  <c r="A245" i="16"/>
  <c r="A246" i="16"/>
  <c r="A247" i="16"/>
  <c r="A248" i="16"/>
  <c r="A250" i="16"/>
  <c r="A272" i="16"/>
  <c r="A273" i="16"/>
  <c r="A274" i="16"/>
  <c r="A275" i="16"/>
  <c r="A276" i="16"/>
  <c r="A279" i="16"/>
  <c r="A280" i="16"/>
  <c r="A283" i="16"/>
  <c r="A284" i="16"/>
  <c r="A285" i="16"/>
  <c r="A286" i="16"/>
  <c r="A287" i="16"/>
  <c r="A290" i="16"/>
  <c r="A293" i="16"/>
  <c r="A294" i="16"/>
  <c r="A298" i="16"/>
  <c r="A299" i="16"/>
  <c r="A301" i="16"/>
  <c r="A302" i="16"/>
  <c r="A303" i="16"/>
  <c r="A305" i="16"/>
  <c r="A306" i="16"/>
  <c r="A308" i="16"/>
  <c r="A309" i="16"/>
  <c r="A311" i="16"/>
  <c r="A312" i="16"/>
  <c r="A314" i="16"/>
  <c r="A315" i="16"/>
  <c r="A317" i="16"/>
  <c r="A318" i="16"/>
  <c r="A322" i="16"/>
  <c r="A323" i="16"/>
  <c r="A325" i="16"/>
  <c r="A326" i="16"/>
  <c r="A330" i="16"/>
  <c r="A333" i="16"/>
  <c r="A336" i="16"/>
  <c r="A339" i="16"/>
  <c r="A340" i="16"/>
  <c r="A341" i="16"/>
  <c r="A342" i="16"/>
  <c r="A343" i="16"/>
  <c r="A344" i="16"/>
  <c r="A366" i="16"/>
  <c r="A367" i="16"/>
  <c r="A368" i="16"/>
  <c r="A371" i="16"/>
  <c r="A374" i="16"/>
  <c r="A375" i="16"/>
  <c r="A376" i="16"/>
  <c r="A379" i="16"/>
  <c r="A380" i="16"/>
  <c r="A383" i="16"/>
  <c r="A385" i="16"/>
  <c r="A393" i="16"/>
  <c r="A394" i="16"/>
  <c r="A396" i="16"/>
  <c r="A397" i="16"/>
  <c r="A398" i="16"/>
  <c r="A399" i="16"/>
  <c r="A403" i="16"/>
  <c r="A404" i="16"/>
  <c r="A405" i="16"/>
  <c r="A406" i="16"/>
  <c r="A407" i="16"/>
  <c r="A415" i="16"/>
  <c r="A416" i="16"/>
  <c r="A418" i="16"/>
  <c r="A419" i="16"/>
  <c r="A420" i="16"/>
  <c r="A421" i="16"/>
  <c r="A424" i="16"/>
  <c r="A425" i="16"/>
  <c r="A426" i="16"/>
  <c r="A427" i="16"/>
  <c r="A428" i="16"/>
  <c r="A432" i="16"/>
  <c r="A433" i="16"/>
  <c r="A434" i="16"/>
  <c r="A435" i="16"/>
  <c r="A436" i="16"/>
  <c r="A439" i="16"/>
  <c r="A441" i="16"/>
  <c r="A443" i="16"/>
  <c r="A447" i="16"/>
  <c r="A449" i="16"/>
  <c r="A452" i="16"/>
  <c r="A454" i="16"/>
  <c r="A456" i="16"/>
  <c r="A458" i="16"/>
  <c r="A460" i="16"/>
  <c r="A462" i="16"/>
  <c r="A465" i="16"/>
  <c r="A466" i="16"/>
  <c r="A468" i="16"/>
  <c r="A469" i="16"/>
  <c r="A472" i="16"/>
  <c r="A473" i="16"/>
  <c r="A475" i="16"/>
  <c r="A476" i="16"/>
  <c r="A479" i="16"/>
  <c r="A480" i="16"/>
  <c r="A481" i="16"/>
  <c r="A482" i="16"/>
  <c r="A483" i="16"/>
  <c r="A487" i="16"/>
  <c r="A488" i="16"/>
  <c r="A489" i="16"/>
  <c r="A490" i="16"/>
  <c r="A491" i="16"/>
  <c r="A492" i="16"/>
  <c r="A493" i="16"/>
  <c r="A494" i="16"/>
  <c r="A495" i="16"/>
  <c r="A519" i="16"/>
  <c r="A522" i="16"/>
  <c r="A523" i="16"/>
  <c r="A525" i="16"/>
  <c r="A526" i="16"/>
  <c r="A527" i="16"/>
  <c r="A528" i="16"/>
  <c r="A529" i="16"/>
  <c r="A530" i="16"/>
  <c r="A531" i="16"/>
  <c r="A532" i="16"/>
  <c r="A533" i="16"/>
  <c r="A535" i="16"/>
  <c r="A536" i="16"/>
  <c r="A556" i="16"/>
  <c r="A560" i="16"/>
  <c r="A561" i="16"/>
  <c r="A564" i="16"/>
  <c r="A565" i="16"/>
  <c r="A568" i="16"/>
  <c r="A569" i="16"/>
  <c r="A571" i="16"/>
  <c r="A582" i="16"/>
  <c r="A585" i="16"/>
  <c r="A586" i="16"/>
  <c r="A589" i="16"/>
  <c r="A592" i="16"/>
  <c r="A594" i="16"/>
  <c r="A595" i="16"/>
  <c r="A599" i="16"/>
  <c r="A600" i="16"/>
  <c r="A605" i="16"/>
  <c r="A608" i="16"/>
  <c r="A610" i="16"/>
  <c r="A612" i="16"/>
  <c r="A613" i="16"/>
  <c r="A615" i="16"/>
  <c r="A616" i="16"/>
  <c r="A620" i="16"/>
  <c r="A622" i="16"/>
  <c r="A623" i="16"/>
  <c r="A629" i="16"/>
  <c r="A630" i="16"/>
  <c r="A631" i="16"/>
  <c r="A637" i="16"/>
  <c r="A642" i="16"/>
  <c r="A643" i="16"/>
  <c r="A649" i="16"/>
  <c r="A652" i="16"/>
  <c r="A653" i="16"/>
  <c r="A655" i="16"/>
  <c r="A656" i="16"/>
  <c r="A658" i="16"/>
  <c r="A660" i="16"/>
  <c r="A661" i="16"/>
  <c r="A663" i="16"/>
  <c r="A664" i="16"/>
  <c r="A666" i="16"/>
  <c r="A667" i="16"/>
  <c r="A669" i="16"/>
  <c r="A670" i="16"/>
  <c r="A672" i="16"/>
  <c r="A673" i="16"/>
  <c r="A676" i="16"/>
  <c r="A677" i="16"/>
  <c r="A681" i="16"/>
  <c r="A682" i="16"/>
  <c r="A683" i="16"/>
  <c r="A684" i="16"/>
  <c r="A690" i="16"/>
  <c r="A700" i="16"/>
  <c r="A702" i="16"/>
  <c r="A704" i="16"/>
  <c r="A707" i="16"/>
  <c r="A708" i="16"/>
  <c r="A711" i="16"/>
  <c r="A712" i="16"/>
  <c r="A716" i="16"/>
  <c r="A717" i="16"/>
  <c r="A718" i="16"/>
  <c r="A720" i="16"/>
  <c r="A721" i="16"/>
  <c r="A723" i="16"/>
  <c r="A724" i="16"/>
  <c r="A725" i="16"/>
  <c r="A727" i="16"/>
  <c r="A728" i="16"/>
  <c r="A731" i="16"/>
  <c r="A732" i="16"/>
  <c r="A748" i="16"/>
  <c r="A750" i="16"/>
  <c r="A752" i="16"/>
  <c r="A755" i="16"/>
  <c r="A757" i="16"/>
  <c r="A763" i="16"/>
  <c r="A764" i="16"/>
  <c r="A770" i="16"/>
  <c r="A771" i="16"/>
  <c r="A774" i="16"/>
  <c r="A775" i="16"/>
  <c r="A778" i="16"/>
  <c r="A779" i="16"/>
  <c r="A781" i="16"/>
  <c r="A782" i="16"/>
  <c r="A785" i="16"/>
  <c r="A788" i="16"/>
  <c r="A791" i="16"/>
  <c r="A792" i="16"/>
  <c r="A793" i="16"/>
  <c r="A794" i="16"/>
  <c r="A797" i="16"/>
  <c r="A809" i="16"/>
  <c r="A828" i="16"/>
  <c r="A835" i="16"/>
  <c r="A839" i="16"/>
  <c r="A845" i="16"/>
  <c r="A846" i="16"/>
  <c r="A853" i="16"/>
  <c r="A854" i="16"/>
  <c r="A855" i="16"/>
  <c r="A858" i="16"/>
  <c r="A859" i="16"/>
  <c r="J10" i="2"/>
  <c r="J11" i="2" s="1"/>
  <c r="A29" i="16" s="1"/>
  <c r="J15" i="2"/>
  <c r="A33" i="16" s="1"/>
  <c r="J16" i="2"/>
  <c r="A34" i="16" s="1"/>
  <c r="F14" i="2"/>
  <c r="A158" i="16" s="1"/>
  <c r="J26" i="2"/>
  <c r="A225" i="16" s="1"/>
  <c r="J27" i="2"/>
  <c r="A226" i="16" s="1"/>
  <c r="J28" i="2"/>
  <c r="A227" i="16" s="1"/>
  <c r="J37" i="2"/>
  <c r="A237" i="16" s="1"/>
  <c r="J38" i="2"/>
  <c r="A238" i="16" s="1"/>
  <c r="J31" i="2"/>
  <c r="J33" i="2"/>
  <c r="A254" i="16" s="1"/>
  <c r="F63" i="2"/>
  <c r="A291" i="16" s="1"/>
  <c r="F64" i="2"/>
  <c r="A292" i="16" s="1"/>
  <c r="F21" i="4"/>
  <c r="A331" i="16" s="1"/>
  <c r="F22" i="4"/>
  <c r="A334" i="16" s="1"/>
  <c r="F26" i="2"/>
  <c r="B18" i="30" s="1"/>
  <c r="O18" i="30" s="1"/>
  <c r="F27" i="2"/>
  <c r="A348" i="16" s="1"/>
  <c r="F58" i="2"/>
  <c r="A805" i="16" s="1"/>
  <c r="F29" i="2"/>
  <c r="A350" i="16" s="1"/>
  <c r="F30" i="2"/>
  <c r="A351" i="16" s="1"/>
  <c r="J58" i="2"/>
  <c r="A806" i="16" s="1"/>
  <c r="J29" i="2"/>
  <c r="A228" i="16" s="1"/>
  <c r="J64" i="2"/>
  <c r="A377" i="16" s="1"/>
  <c r="J65" i="2"/>
  <c r="A378" i="16" s="1"/>
  <c r="J68" i="2"/>
  <c r="A381" i="16" s="1"/>
  <c r="J69" i="2"/>
  <c r="A382" i="16" s="1"/>
  <c r="F81" i="2"/>
  <c r="A392" i="16" s="1"/>
  <c r="F85" i="2"/>
  <c r="A395" i="16" s="1"/>
  <c r="J71" i="2"/>
  <c r="A400" i="16" s="1"/>
  <c r="J81" i="2"/>
  <c r="A414" i="16" s="1"/>
  <c r="J85" i="2"/>
  <c r="A417" i="16" s="1"/>
  <c r="J103" i="2"/>
  <c r="A431" i="16" s="1"/>
  <c r="F49" i="2"/>
  <c r="A484" i="16" s="1"/>
  <c r="F50" i="2"/>
  <c r="A485" i="16" s="1"/>
  <c r="J183" i="2"/>
  <c r="A497" i="16" s="1"/>
  <c r="J184" i="2"/>
  <c r="A498" i="16" s="1"/>
  <c r="F104" i="2"/>
  <c r="A500" i="16" s="1"/>
  <c r="F105" i="2"/>
  <c r="A501" i="16" s="1"/>
  <c r="F115" i="2"/>
  <c r="A537" i="16" s="1"/>
  <c r="F116" i="2"/>
  <c r="B39" i="17" s="1"/>
  <c r="J135" i="2"/>
  <c r="F139" i="2"/>
  <c r="B139" i="2" s="1"/>
  <c r="F8" i="26"/>
  <c r="A602" i="16" s="1"/>
  <c r="F145" i="2"/>
  <c r="A645" i="16" s="1"/>
  <c r="F146" i="2"/>
  <c r="A646" i="16" s="1"/>
  <c r="F153" i="2"/>
  <c r="A686" i="16" s="1"/>
  <c r="F154" i="2"/>
  <c r="A687" i="16" s="1"/>
  <c r="F155" i="2"/>
  <c r="A688" i="16" s="1"/>
  <c r="F158" i="2"/>
  <c r="A715" i="16" s="1"/>
  <c r="J167" i="2"/>
  <c r="A736" i="16" s="1"/>
  <c r="J159" i="2"/>
  <c r="A737" i="16" s="1"/>
  <c r="A807" i="16"/>
  <c r="F175" i="2"/>
  <c r="A808" i="16" s="1"/>
  <c r="F176" i="2"/>
  <c r="A762" i="16" s="1"/>
  <c r="F31" i="2"/>
  <c r="A827" i="16" s="1"/>
  <c r="F152" i="2"/>
  <c r="A819" i="16" s="1"/>
  <c r="B12" i="30"/>
  <c r="O12" i="30" s="1"/>
  <c r="B11" i="30"/>
  <c r="O11" i="30" s="1"/>
  <c r="B10" i="30"/>
  <c r="O10" i="30" s="1"/>
  <c r="B9" i="30"/>
  <c r="O9" i="30" s="1"/>
  <c r="B8" i="30"/>
  <c r="O8" i="30" s="1"/>
  <c r="B5" i="30"/>
  <c r="O5" i="30" s="1"/>
  <c r="B7" i="30"/>
  <c r="O7" i="30" s="1"/>
  <c r="B6" i="30"/>
  <c r="O6" i="30" s="1"/>
  <c r="M27" i="30"/>
  <c r="M26" i="30"/>
  <c r="M25" i="30"/>
  <c r="M24" i="30"/>
  <c r="M23" i="30"/>
  <c r="M22" i="30"/>
  <c r="M21" i="30"/>
  <c r="M20" i="30"/>
  <c r="M19" i="30"/>
  <c r="M18" i="30"/>
  <c r="M13" i="30"/>
  <c r="M12" i="30"/>
  <c r="M11" i="30"/>
  <c r="M10" i="30"/>
  <c r="M9" i="30"/>
  <c r="M8" i="30"/>
  <c r="M7" i="30"/>
  <c r="M6" i="30"/>
  <c r="M5" i="30"/>
  <c r="M4" i="30"/>
  <c r="M3" i="30"/>
  <c r="M2" i="30"/>
  <c r="N27" i="30"/>
  <c r="N26" i="30"/>
  <c r="N25" i="30"/>
  <c r="B4" i="30"/>
  <c r="O4" i="30" s="1"/>
  <c r="B3" i="30"/>
  <c r="O3" i="30" s="1"/>
  <c r="B2" i="30"/>
  <c r="O2" i="30" s="1"/>
  <c r="F45" i="15"/>
  <c r="H23" i="17"/>
  <c r="H22" i="17"/>
  <c r="B27" i="2"/>
  <c r="H60" i="2"/>
  <c r="H59" i="2" s="1"/>
  <c r="B177" i="2"/>
  <c r="B176" i="2"/>
  <c r="B10" i="2"/>
  <c r="B67" i="2"/>
  <c r="B64" i="2"/>
  <c r="B66" i="2"/>
  <c r="B63" i="2"/>
  <c r="B140" i="2"/>
  <c r="H44" i="17"/>
  <c r="H43" i="17"/>
  <c r="B6" i="2"/>
  <c r="L64" i="2"/>
  <c r="L63" i="2" s="1"/>
  <c r="L60" i="2"/>
  <c r="L59" i="2" s="1"/>
  <c r="L62" i="2"/>
  <c r="L61" i="2" s="1"/>
  <c r="H50" i="17"/>
  <c r="H51" i="17"/>
  <c r="H52" i="17"/>
  <c r="H53" i="17"/>
  <c r="H54" i="17"/>
  <c r="H55" i="17"/>
  <c r="H56" i="17"/>
  <c r="H24" i="17"/>
  <c r="H25" i="17"/>
  <c r="H30" i="17"/>
  <c r="H31" i="17"/>
  <c r="H32" i="17"/>
  <c r="H33" i="17"/>
  <c r="H34" i="17"/>
  <c r="H38" i="17"/>
  <c r="H39" i="17"/>
  <c r="K74" i="17"/>
  <c r="K75" i="17" s="1"/>
  <c r="F81" i="17"/>
  <c r="F82" i="17" s="1"/>
  <c r="F69" i="17"/>
  <c r="B116" i="2"/>
  <c r="B54" i="2"/>
  <c r="B9" i="2"/>
  <c r="F21" i="15"/>
  <c r="F41" i="15"/>
  <c r="B121" i="2"/>
  <c r="B120" i="2"/>
  <c r="B119" i="2"/>
  <c r="B118" i="2"/>
  <c r="B156" i="2"/>
  <c r="B55" i="2"/>
  <c r="B59" i="2"/>
  <c r="B146" i="2"/>
  <c r="B11" i="2"/>
  <c r="B12" i="2"/>
  <c r="B7" i="2"/>
  <c r="B153" i="2"/>
  <c r="B154" i="2"/>
  <c r="B61" i="2"/>
  <c r="K68" i="17"/>
  <c r="C21" i="4"/>
  <c r="A266" i="16" s="1"/>
  <c r="A349" i="16" l="1"/>
  <c r="C8" i="4"/>
  <c r="A256" i="16" s="1"/>
  <c r="C12" i="4"/>
  <c r="C9" i="4"/>
  <c r="A259" i="16" s="1"/>
  <c r="C14" i="4"/>
  <c r="A261" i="16" s="1"/>
  <c r="C10" i="4"/>
  <c r="A258" i="16" s="1"/>
  <c r="C11" i="4"/>
  <c r="A257" i="16" s="1"/>
  <c r="C15" i="4"/>
  <c r="A262" i="16" s="1"/>
  <c r="B40" i="17"/>
  <c r="B29" i="2"/>
  <c r="A347" i="16"/>
  <c r="B31" i="17"/>
  <c r="A107" i="16"/>
  <c r="F179" i="2"/>
  <c r="A767" i="16" s="1"/>
  <c r="G46" i="17"/>
  <c r="G61" i="17" s="1"/>
  <c r="G63" i="17" s="1"/>
  <c r="G64" i="17" s="1"/>
  <c r="C24" i="4"/>
  <c r="A268" i="16" s="1"/>
  <c r="C19" i="4"/>
  <c r="A264" i="16" s="1"/>
  <c r="C20" i="4"/>
  <c r="A267" i="16" s="1"/>
  <c r="C22" i="4"/>
  <c r="A265" i="16" s="1"/>
  <c r="C25" i="4"/>
  <c r="A269" i="16" s="1"/>
  <c r="A802" i="16"/>
  <c r="A28" i="16"/>
  <c r="B21" i="17"/>
  <c r="B38" i="17"/>
  <c r="E46" i="17"/>
  <c r="E61" i="17" s="1"/>
  <c r="F83" i="17" s="1"/>
  <c r="F46" i="17"/>
  <c r="F61" i="17" s="1"/>
  <c r="F72" i="17" s="1"/>
  <c r="F74" i="17" s="1"/>
  <c r="B24" i="30"/>
  <c r="O24" i="30" s="1"/>
  <c r="A813" i="16"/>
  <c r="B9" i="17"/>
  <c r="B25" i="30"/>
  <c r="O25" i="30" s="1"/>
  <c r="A538" i="16"/>
  <c r="B43" i="17"/>
  <c r="C27" i="30"/>
  <c r="A818" i="16"/>
  <c r="A820" i="16"/>
  <c r="B13" i="2"/>
  <c r="C22" i="30"/>
  <c r="A801" i="16"/>
  <c r="B14" i="17"/>
  <c r="B65" i="2"/>
  <c r="B53" i="17"/>
  <c r="A352" i="16"/>
  <c r="B20" i="17"/>
  <c r="B30" i="2"/>
  <c r="A591" i="16"/>
  <c r="B13" i="17"/>
  <c r="B22" i="30"/>
  <c r="O22" i="30" s="1"/>
  <c r="D22" i="30"/>
  <c r="A814" i="16"/>
  <c r="A803" i="16"/>
  <c r="B11" i="17"/>
  <c r="B23" i="30"/>
  <c r="O23" i="30" s="1"/>
  <c r="B23" i="17"/>
  <c r="B21" i="30"/>
  <c r="O21" i="30" s="1"/>
  <c r="B19" i="17"/>
  <c r="B152" i="2"/>
  <c r="B8" i="2"/>
  <c r="A840" i="16"/>
  <c r="B32" i="17"/>
  <c r="B20" i="30"/>
  <c r="O20" i="30" s="1"/>
  <c r="B10" i="17"/>
  <c r="E27" i="30"/>
  <c r="B32" i="2"/>
  <c r="B27" i="30"/>
  <c r="O27" i="30" s="1"/>
  <c r="B22" i="17"/>
  <c r="B18" i="17"/>
  <c r="B58" i="2"/>
  <c r="B33" i="17"/>
  <c r="B34" i="17"/>
  <c r="A821" i="16"/>
  <c r="D27" i="30"/>
  <c r="B19" i="30"/>
  <c r="O19" i="30" s="1"/>
  <c r="B44" i="17"/>
  <c r="A822" i="16"/>
  <c r="B12" i="17"/>
  <c r="A260" i="16"/>
  <c r="B26" i="2"/>
  <c r="A751" i="16"/>
  <c r="A253" i="16"/>
  <c r="F119" i="2"/>
  <c r="A553" i="16" s="1"/>
  <c r="B30" i="17"/>
  <c r="B115" i="2"/>
  <c r="A812" i="16"/>
  <c r="A836" i="16"/>
  <c r="A817" i="16"/>
  <c r="B54" i="17"/>
  <c r="A804" i="16"/>
  <c r="B145" i="2"/>
  <c r="B175" i="2"/>
  <c r="F118" i="2"/>
  <c r="B26" i="30"/>
  <c r="O26" i="30" s="1"/>
  <c r="B62" i="2"/>
  <c r="F75" i="17" l="1"/>
  <c r="F76" i="17" s="1"/>
  <c r="F84" i="17"/>
  <c r="A552" i="16"/>
  <c r="A551" i="16"/>
</calcChain>
</file>

<file path=xl/sharedStrings.xml><?xml version="1.0" encoding="utf-8"?>
<sst xmlns="http://schemas.openxmlformats.org/spreadsheetml/2006/main" count="1826" uniqueCount="1341">
  <si>
    <t>Domain Name</t>
  </si>
  <si>
    <t>IP Address</t>
  </si>
  <si>
    <t>Servers</t>
  </si>
  <si>
    <t xml:space="preserve">vRealize Automation </t>
  </si>
  <si>
    <t>Infrastructure Information</t>
  </si>
  <si>
    <t>vRealize Operations Manager</t>
  </si>
  <si>
    <t>Hosts</t>
  </si>
  <si>
    <t>VLAN #</t>
  </si>
  <si>
    <t>Description</t>
  </si>
  <si>
    <t>Gateway</t>
  </si>
  <si>
    <t>n/a</t>
  </si>
  <si>
    <t>Status</t>
  </si>
  <si>
    <t>Notes</t>
  </si>
  <si>
    <t>Management Cluster</t>
  </si>
  <si>
    <t>root</t>
  </si>
  <si>
    <t>VMware1!</t>
  </si>
  <si>
    <t xml:space="preserve">NSX Manager </t>
  </si>
  <si>
    <t>Hostname</t>
  </si>
  <si>
    <t>IP Pool for VTEP Interfaces for ESXi Hosts</t>
  </si>
  <si>
    <t>Username</t>
  </si>
  <si>
    <t>Member of Groups</t>
  </si>
  <si>
    <t>Users</t>
  </si>
  <si>
    <t>Groups</t>
  </si>
  <si>
    <t>Yes</t>
  </si>
  <si>
    <t>NSX Manager Service Account - Used for registration with vCenter Server</t>
  </si>
  <si>
    <t>svc-vro</t>
  </si>
  <si>
    <t>svc-vra</t>
  </si>
  <si>
    <t>IP addresses for vSAN Ports</t>
  </si>
  <si>
    <t>Virtual SAN</t>
  </si>
  <si>
    <t>Resource/ Edge Cluster</t>
  </si>
  <si>
    <t>SMTP Server</t>
  </si>
  <si>
    <t>vRealize Log Insight</t>
  </si>
  <si>
    <t>Value</t>
  </si>
  <si>
    <t>Infrastructure</t>
  </si>
  <si>
    <t>vCenter Objects</t>
  </si>
  <si>
    <t>vSphere Infrastructure</t>
  </si>
  <si>
    <t>vCenter Server</t>
  </si>
  <si>
    <t>Platform Service Controller</t>
  </si>
  <si>
    <t>MTU</t>
  </si>
  <si>
    <t># Default credentials for all ESXi servers, all installations must have the same user name and password.</t>
  </si>
  <si>
    <t># Management network settings</t>
  </si>
  <si>
    <t># Static IPs on the management network</t>
  </si>
  <si>
    <t># Storage (NFS)</t>
  </si>
  <si>
    <t>Proposed VM Name</t>
  </si>
  <si>
    <t>Application</t>
  </si>
  <si>
    <t>Operating System</t>
  </si>
  <si>
    <t>vCPUs</t>
  </si>
  <si>
    <t>vRAM</t>
  </si>
  <si>
    <t>Storage</t>
  </si>
  <si>
    <t>SWAP Size</t>
  </si>
  <si>
    <t>Reservation</t>
  </si>
  <si>
    <t>Version</t>
  </si>
  <si>
    <t>Virtual Appliance</t>
  </si>
  <si>
    <t>x</t>
  </si>
  <si>
    <t>-</t>
  </si>
  <si>
    <t>vCPU</t>
  </si>
  <si>
    <t>Total Resources</t>
  </si>
  <si>
    <t>SRM replication</t>
  </si>
  <si>
    <t>Total Resources Storage incl SRM</t>
  </si>
  <si>
    <t>Total with 30% free</t>
  </si>
  <si>
    <t>Cluster Configuration</t>
  </si>
  <si>
    <t>Storage Calculation</t>
  </si>
  <si>
    <t>Total Hosts</t>
  </si>
  <si>
    <t>GB</t>
  </si>
  <si>
    <t>Host Failure</t>
  </si>
  <si>
    <t>FTT</t>
  </si>
  <si>
    <t>Remaining Hosts</t>
  </si>
  <si>
    <t>Overhead</t>
  </si>
  <si>
    <t>%</t>
  </si>
  <si>
    <t>Host Config</t>
  </si>
  <si>
    <t>Disks per host</t>
  </si>
  <si>
    <t>Host Memory Utilization</t>
  </si>
  <si>
    <t>Host Utilization Host Down</t>
  </si>
  <si>
    <t>Host Memory Utilization Host Down</t>
  </si>
  <si>
    <t>CPU Calculation</t>
  </si>
  <si>
    <t>Host Sockets</t>
  </si>
  <si>
    <t>CPUs</t>
  </si>
  <si>
    <t>Host Cores</t>
  </si>
  <si>
    <t>Cores</t>
  </si>
  <si>
    <t>Total Cluster Cores</t>
  </si>
  <si>
    <t xml:space="preserve">Protected by SRM </t>
  </si>
  <si>
    <t>License Key</t>
  </si>
  <si>
    <t>Active Directory Domain Server</t>
  </si>
  <si>
    <t>Default password for ESXi Hosts</t>
  </si>
  <si>
    <t>DNS Servers</t>
  </si>
  <si>
    <t>NTP Servers</t>
  </si>
  <si>
    <t>vRLI Node #2 (Worker)</t>
  </si>
  <si>
    <t>Static IP Address for Load Balancer</t>
  </si>
  <si>
    <t>Load Balancer Addresses</t>
  </si>
  <si>
    <t>vSphere components resolvable in DNS</t>
  </si>
  <si>
    <t>vRLI Node #4 (Worker)</t>
  </si>
  <si>
    <t>vRLI Node #2 (Master)</t>
  </si>
  <si>
    <t>vRLI Node Load Balancer</t>
  </si>
  <si>
    <t>svc-vrli</t>
  </si>
  <si>
    <t># External Active Directory settings. If you want to use a pre-configured Active Directory server you should populate the settings below.</t>
  </si>
  <si>
    <t># NTP server to configure for the deployed products. This should match the root Active Directory server if not deploying with an external AD.</t>
  </si>
  <si>
    <t># Datacenter/cluster names (if not specified, the default values will be used)</t>
  </si>
  <si>
    <t>#EVC cluster mode. If not specified, EVC will be disabled on all clusters. Allowed values are:</t>
  </si>
  <si>
    <t># - "intel-merom", "intel-penryn", "intel-nehalem", "intel-westmere", "intel-sandybridge", "intel-ivybridge", "intel-haswell",</t>
  </si>
  <si>
    <t># - "amd-rev-e", "amd-rev-f", "amd-greyhound-no3dnow", "amd-greyhound", "amd-bulldozer", "amd-piledriver"</t>
  </si>
  <si>
    <t># These are example settings. Modify them to reflect your pre-configured AD setup</t>
  </si>
  <si>
    <t># or comment/delete them if you want to use AD deployed by the system.</t>
  </si>
  <si>
    <t># Service accounts that need to be pre-configured in the AD server.</t>
  </si>
  <si>
    <t># An AD account with privileges to join computers in the Active Directory.</t>
  </si>
  <si>
    <t># An AD account which will be granted NSX administrator privileges</t>
  </si>
  <si>
    <t># (can be the same as vc-admin-credentials).</t>
  </si>
  <si>
    <t># vRA account. This account must be pre-created and configured with the following user rights:</t>
  </si>
  <si>
    <t># The account must also have a Local Administrators Membership.</t>
  </si>
  <si>
    <t># The username must be specified without the domain.</t>
  </si>
  <si>
    <t># section in the manual for setup instructions for the VM.</t>
  </si>
  <si>
    <t># First tier management datastore cluster (Gold) 6.5 TB free</t>
  </si>
  <si>
    <t># First tier edge datastore cluster (Gold) 2 TB free</t>
  </si>
  <si>
    <t># ******************* S D D C    I N F R A S T R U C T U R E *******************</t>
  </si>
  <si>
    <t># ******************* L I C E N S E    K E Y S *******************</t>
  </si>
  <si>
    <t># ******************* S D D C    A U T O M A T I O N *******************</t>
  </si>
  <si>
    <t># ******************* S D D C    O P E R A T I O N S *******************</t>
  </si>
  <si>
    <t># vRealize Operations Manager - Remote Collectors</t>
  </si>
  <si>
    <t># vRealize Operations Manager</t>
  </si>
  <si>
    <t># vRealize Log Insight</t>
  </si>
  <si>
    <t>#Log Insight - VM Names</t>
  </si>
  <si>
    <t># vROps Remote Collectors - VM Names</t>
  </si>
  <si>
    <t># VM Names for management products</t>
  </si>
  <si>
    <t># ******************* E X T E R N A L    I N F R A S T R U C T U R E    C O M P O N E N T S *******************</t>
  </si>
  <si>
    <t>Identity Source (LDAP / AD)</t>
  </si>
  <si>
    <t>vRealize Log Insight - Master Node</t>
  </si>
  <si>
    <t>vRealize Log Insight - Worker Node</t>
  </si>
  <si>
    <t>Account Operators (BuiltIn)</t>
  </si>
  <si>
    <t># Network VLAN ID Configuration</t>
  </si>
  <si>
    <t># vMotion Portgroup  - VLAN Settings</t>
  </si>
  <si>
    <t># Management Portgroup - VLAN Settings</t>
  </si>
  <si>
    <t># VXLAN Portgroup - VLAN Settings</t>
  </si>
  <si>
    <t># Storage (NFS) Portgroup - VLAN Settings</t>
  </si>
  <si>
    <t># VSAN Portgroup  - VLAN Settings</t>
  </si>
  <si>
    <t># VLAN MTU configuration</t>
  </si>
  <si>
    <t># Management Portgroup - MTU Settings</t>
  </si>
  <si>
    <t>vRealize Automation Service Account - Used to install vRA IaaS Components and SQL Database User</t>
  </si>
  <si>
    <t>Virtual SAN Datastores</t>
  </si>
  <si>
    <t>Windows IaaS Servers Template</t>
  </si>
  <si>
    <t>vRealize Automation Proxy Agent #1</t>
  </si>
  <si>
    <t>vRealize Automation Proxy Agent #2</t>
  </si>
  <si>
    <t>EVC Settings</t>
  </si>
  <si>
    <t># vCenter OS credentials (for the root user)</t>
  </si>
  <si>
    <t># vCenter product credentials (for the Administrator@vsphere.local user)</t>
  </si>
  <si>
    <t># NSX product credentials (for the admin user)</t>
  </si>
  <si>
    <t>administrator@vsphere.local</t>
  </si>
  <si>
    <t>admin</t>
  </si>
  <si>
    <t>#Network settings and static IPs for vMotion VMKernel DV portgroups</t>
  </si>
  <si>
    <t># vROps account for configuring AD integration. The user must be pre-created in the Active Directory</t>
  </si>
  <si>
    <t># AD group used for integration with vROps. Should be a DN, for example CN=SDDC-Admins,CN=Users,DC=rainpole,DC=local</t>
  </si>
  <si>
    <t># LogInsight "admin" password</t>
  </si>
  <si>
    <t># LogInsight "root" password</t>
  </si>
  <si>
    <t># LogInsight account for configuring vCenter integration. The user must be pre-created in the Active Directory.</t>
  </si>
  <si>
    <t># LogInsight account for configuring AD integration. The user must be pre-created in the Active Directory</t>
  </si>
  <si>
    <t># and can be the same as "log-insight-vc-credentials". The username must be specified without the domain.</t>
  </si>
  <si>
    <t># SMTP settings for LogInsight email notifications (if not specified, the default settings from VVD will be used)</t>
  </si>
  <si>
    <t># LogInsight admin/alert email</t>
  </si>
  <si>
    <t># *******************  C E R T I F I C A T E S  *******************</t>
  </si>
  <si>
    <t>#vRA tenant admin credentials</t>
  </si>
  <si>
    <t>SMTP Settings</t>
  </si>
  <si>
    <t>SMTP Server Port</t>
  </si>
  <si>
    <t>Hostnames Defined for all components</t>
  </si>
  <si>
    <t>Static IP Addresses Defined for all components</t>
  </si>
  <si>
    <t>Datacenter Name Defined</t>
  </si>
  <si>
    <t>Cluster Names Defined</t>
  </si>
  <si>
    <t>EVC Settings Defined</t>
  </si>
  <si>
    <t>NSX components resolvable in DNS</t>
  </si>
  <si>
    <t>vRealize Log Insight components resolvable in DNS</t>
  </si>
  <si>
    <t>Remote Collectors - Hostnames Defined</t>
  </si>
  <si>
    <t>Remote Collectors - Static IPs Defined</t>
  </si>
  <si>
    <t>SMTP Settings Defined</t>
  </si>
  <si>
    <t>NSX Manager - Static IPs Defined</t>
  </si>
  <si>
    <t>NSX Manager - Hostnames Defined</t>
  </si>
  <si>
    <t>vCenter, PSC &amp; Updated Manager - Hostnames Defined</t>
  </si>
  <si>
    <t>vCenter, PSC &amp; Updated Manager - Static IPs Defined</t>
  </si>
  <si>
    <t>Virtual SAN Datastore Names Defined</t>
  </si>
  <si>
    <t>vRealize Automation - Hostnames Defined</t>
  </si>
  <si>
    <t>Portgroup Name</t>
  </si>
  <si>
    <t>vRA tenant admin credentials</t>
  </si>
  <si>
    <t>Default Password</t>
  </si>
  <si>
    <t>vRLI Administrator</t>
  </si>
  <si>
    <t>vRealize Automation - IP Addresses Defined</t>
  </si>
  <si>
    <t>vRA Service Account Credentials Defined</t>
  </si>
  <si>
    <t>Windows IaaS Server Template Defined</t>
  </si>
  <si>
    <t>Tenant Admin Group and User Defined</t>
  </si>
  <si>
    <t>vRealize Operations Manager - Remote Collector</t>
  </si>
  <si>
    <t># Distributed Virtual Switch Names and Portgroups</t>
  </si>
  <si>
    <t>Distributed Virtual Switches</t>
  </si>
  <si>
    <t>Cluster Name - Management</t>
  </si>
  <si>
    <t>Distributed Virtual Switch Names Defined</t>
  </si>
  <si>
    <t>false</t>
  </si>
  <si>
    <t># vRealize Automation Proxy Agent endpoints</t>
  </si>
  <si>
    <t>Servers - Proxy Agents Settings</t>
  </si>
  <si>
    <t xml:space="preserve"># “vROps “admin” password” </t>
  </si>
  <si>
    <t>vRealize Orchestrator Service Account</t>
  </si>
  <si>
    <t># NSX FTP backup (if any of the properties is left empty, then NSX backup will not be configured)</t>
  </si>
  <si>
    <t># vROps vCenter adapter credentials</t>
  </si>
  <si>
    <t>FTP Configuration</t>
  </si>
  <si>
    <t>FTP Server Hostname</t>
  </si>
  <si>
    <t>FTP Credentials - Username</t>
  </si>
  <si>
    <t>FTP Credentials - Password</t>
  </si>
  <si>
    <t>administrator</t>
  </si>
  <si>
    <t>Certificate Management</t>
  </si>
  <si>
    <t>Replacement Certificates</t>
  </si>
  <si>
    <t>vCenterAdmins</t>
  </si>
  <si>
    <t>vcAdmins</t>
  </si>
  <si>
    <t>Proxy Agent Endpoint Name</t>
  </si>
  <si>
    <t>ESXi Hosts Ready for Deployment</t>
  </si>
  <si>
    <t># *******************  D N S   V A L I D A T I O N  *******************</t>
  </si>
  <si>
    <t># Core</t>
  </si>
  <si>
    <t># Automation</t>
  </si>
  <si>
    <t># Operations</t>
  </si>
  <si>
    <t># *******************  E N D   O F   F I L E  *******************</t>
  </si>
  <si>
    <t># Physical NIC name which will be used when the hosts are attached to vDS</t>
  </si>
  <si>
    <t>vmnic1</t>
  </si>
  <si>
    <t>Physical NIC to Assign to vDS - Management</t>
  </si>
  <si>
    <t>Certificate Template Created on CA</t>
  </si>
  <si>
    <t>Management Cluster Datastore Name</t>
  </si>
  <si>
    <t>Edge Cluster Datastore Name</t>
  </si>
  <si>
    <t>Virtual Networking - ESXi Hosts</t>
  </si>
  <si>
    <t># VSAN datastores names</t>
  </si>
  <si>
    <t># VTEP network for Management NSX</t>
  </si>
  <si>
    <t># VTEP network for Edge/Compute NSX</t>
  </si>
  <si>
    <t># IP pool on the Management VTEP network</t>
  </si>
  <si>
    <t># vCenterAdmins group which will be granted vCenter administrator privileges</t>
  </si>
  <si>
    <t># Enable SSL only option when integrating LogInsight with Active Directory</t>
  </si>
  <si>
    <t>NSX VTEP IP Pool Start Address (Mgmt)</t>
  </si>
  <si>
    <t>NSX VTEP IP Pool End Address (Mgmt)</t>
  </si>
  <si>
    <t xml:space="preserve">#  VMs/RESOURCES SIZES </t>
  </si>
  <si>
    <t>Physical Hardware and ESXi Hosts</t>
  </si>
  <si>
    <t>Datastores Defined</t>
  </si>
  <si>
    <t>All components Resolvable in DNS</t>
  </si>
  <si>
    <t>Windows IaaS Server Template Prerequisites Installed</t>
  </si>
  <si>
    <t>vRLI SMTP Settings</t>
  </si>
  <si>
    <t># vRO service account used for configuring Compute vCenter in vRO</t>
  </si>
  <si>
    <t># vRA tenant admin usergroup (could be a full DN but only the first CN part is extracted)</t>
  </si>
  <si>
    <t>Proxy Agent Name (Node 1 &amp; Node 2)</t>
  </si>
  <si>
    <t>Tenant</t>
  </si>
  <si>
    <t>Existing Infrastructure Details</t>
  </si>
  <si>
    <t>DNS Zone Defined</t>
  </si>
  <si>
    <t>FTP Backup Folder - Mgmt</t>
  </si>
  <si>
    <t># vSAN MTU</t>
  </si>
  <si>
    <t>NTP Server #1</t>
  </si>
  <si>
    <t>NTP Server #2</t>
  </si>
  <si>
    <t># vRO Admin Group in Active Directory - vRO administrators usergroup (could be a full DN but only the first CN part is extracted)</t>
  </si>
  <si>
    <t># LogInsight account for configuring SMTP. Can be blank if using anonymous SMTP. If specified, the username must be without the domain</t>
  </si>
  <si>
    <t># Replication MTU</t>
  </si>
  <si>
    <t>Tenant Name</t>
  </si>
  <si>
    <t>Tenant URL</t>
  </si>
  <si>
    <t># Uplink01 portgroup - VLAN settings</t>
  </si>
  <si>
    <t># Uplink02 portgroup - VLAN settings</t>
  </si>
  <si>
    <t># Management NSX edge devices for North-South routing</t>
  </si>
  <si>
    <t># Edge/Compute NSX edge devices for North-South routing</t>
  </si>
  <si>
    <t xml:space="preserve">vRealize Business for Cloud </t>
  </si>
  <si>
    <t>Management  - North-South Routing Node 1</t>
  </si>
  <si>
    <t>ESG Name</t>
  </si>
  <si>
    <t>ESG Uplink 1 IP Address</t>
  </si>
  <si>
    <t>ESG Uplink 2 IP Address</t>
  </si>
  <si>
    <t>Management  - North-South Routing Node 2</t>
  </si>
  <si>
    <t>192.168.10.0/24</t>
  </si>
  <si>
    <t>Compute  - North-South Routing Node 1</t>
  </si>
  <si>
    <t>Compute - North-South Routing Node 2</t>
  </si>
  <si>
    <t>192.168.100.0/24</t>
  </si>
  <si>
    <t>Storage Total GB</t>
  </si>
  <si>
    <t>NSX Edge Services Gateway #1 - North-South</t>
  </si>
  <si>
    <t>NSX Edge Services Gateway #2 - North-South</t>
  </si>
  <si>
    <t># Management UDLR settings and static Ips</t>
  </si>
  <si>
    <t># Compute UDLR settings and static Ips</t>
  </si>
  <si>
    <t># Application virtual networks</t>
  </si>
  <si>
    <t># Horizon administrator user credentials</t>
  </si>
  <si>
    <t>Application Virtual Networks</t>
  </si>
  <si>
    <t>CIDR Notation</t>
  </si>
  <si>
    <t>xRegion VXLAN</t>
  </si>
  <si>
    <t>OneArm Load Balancer</t>
  </si>
  <si>
    <t># Load Balancer Static IP on the xVXLAN</t>
  </si>
  <si>
    <t># vROps - Static IPs on the xVXLAN</t>
  </si>
  <si>
    <t># vROps Remote Collectors - Static IPs on the RegionA VXLAN</t>
  </si>
  <si>
    <t># Log Insight - Static IPs on the RegionA VXLAN</t>
  </si>
  <si>
    <t>Management  - UDLR</t>
  </si>
  <si>
    <t>Compute  - UDLR</t>
  </si>
  <si>
    <t>Management  - Top of Rack Switches</t>
  </si>
  <si>
    <t># Management vDS Portgroup Naming</t>
  </si>
  <si>
    <t># Edge vDS Portgroup Naming</t>
  </si>
  <si>
    <t># LogInsight archiving settings</t>
  </si>
  <si>
    <t xml:space="preserve">NFS Server </t>
  </si>
  <si>
    <t>NFS Folder</t>
  </si>
  <si>
    <t>All hosts must be installed with a basic installation of ESXi.</t>
  </si>
  <si>
    <t># vRA Fabric Group</t>
  </si>
  <si>
    <t>Tenant Configuration</t>
  </si>
  <si>
    <t>Fabric Group</t>
  </si>
  <si>
    <t>Name</t>
  </si>
  <si>
    <t>Compute UDLR Defined</t>
  </si>
  <si>
    <t>OneArm Load Balancer ESG Name</t>
  </si>
  <si>
    <t># vRealize Business IPs and Hostnames and root password</t>
  </si>
  <si>
    <t>Disk Size (GB)</t>
  </si>
  <si>
    <t>Management Cluster Calculations</t>
  </si>
  <si>
    <t>NSX Edge Services Gateway #1 - oneArm LB</t>
  </si>
  <si>
    <t>NSX Edge Services Gateway #2 - oneArm LB</t>
  </si>
  <si>
    <t>NSX Edge Services Gateway  #1 - UDLR</t>
  </si>
  <si>
    <t>NSX Edge Services Gateway  #2 - UDLR</t>
  </si>
  <si>
    <t>Total Needed Per Host</t>
  </si>
  <si>
    <t>vCPU Per Core</t>
  </si>
  <si>
    <t>vCPU Per Core Host Down</t>
  </si>
  <si>
    <t>Server Configuration</t>
  </si>
  <si>
    <t>SSD</t>
  </si>
  <si>
    <t>HDD</t>
  </si>
  <si>
    <t>Total VSAN Storage</t>
  </si>
  <si>
    <t>Total RAW by Host</t>
  </si>
  <si>
    <t>Total RAW by Cluster</t>
  </si>
  <si>
    <t>Storage Needed per Host</t>
  </si>
  <si>
    <t>Default Tenant for vRA</t>
  </si>
  <si>
    <t>vRealize Automation Custom Tenant Configuration</t>
  </si>
  <si>
    <t>Archive and Retention</t>
  </si>
  <si>
    <t>vRealize Business for Cloud Data Collector</t>
  </si>
  <si>
    <t>Compute  - Top of Rack Switches</t>
  </si>
  <si>
    <t>vRLI SMTP Server (FQDN / IP Address)</t>
  </si>
  <si>
    <t>vRLI SMTP Server Port</t>
  </si>
  <si>
    <t>vRLI SMTP Sender Email Address</t>
  </si>
  <si>
    <t>vRLI SMTP Sender Name</t>
  </si>
  <si>
    <t>vRLI Send SMTP Over Secure Connection</t>
  </si>
  <si>
    <t>vRLI SMTP Authentication</t>
  </si>
  <si>
    <t>vRLI SMTP Requires Authentication</t>
  </si>
  <si>
    <t>vRLI Username for SMTP Authentication</t>
  </si>
  <si>
    <t>vRLI Password for SMTP Authentication</t>
  </si>
  <si>
    <t>vRLI Use Secure SSL for AD Integration</t>
  </si>
  <si>
    <t>vRLI Default Admin Email (Super User)</t>
  </si>
  <si>
    <t>vRLI Email System Notifications To</t>
  </si>
  <si>
    <t># MTU to set on the network interfaces on ESG/UDLR/Spine/ToR edges</t>
  </si>
  <si>
    <t># This license is applied to ESX hosts, SRM</t>
  </si>
  <si>
    <t>NSX Controller #1</t>
  </si>
  <si>
    <t>NSX Controller #3</t>
  </si>
  <si>
    <t>NSX Controller #2</t>
  </si>
  <si>
    <t>NSX_Controller01</t>
  </si>
  <si>
    <t>NSX_Controller02</t>
  </si>
  <si>
    <t>NSX_Controller03</t>
  </si>
  <si>
    <t># NSX edges CLI password (for the admin user) - minimal length 12</t>
  </si>
  <si>
    <t>Rainpole</t>
  </si>
  <si>
    <t>rainpole</t>
  </si>
  <si>
    <t>VMware123456!</t>
  </si>
  <si>
    <t># BGP password used for configuring BGP between UDLR and ESG switches</t>
  </si>
  <si>
    <t># BGP password used for configuring BGP between Management ToR01 and ESG/Spine switches</t>
  </si>
  <si>
    <t># BGP password used for configuring BGP between Management ToR02 and ESG/Spine switches</t>
  </si>
  <si>
    <t># BGP password used for configuring BGP between Edge/Compute ToR01 and ESG/Spine switches</t>
  </si>
  <si>
    <t># BGP password used for configuring BGP between Edge/Compute ToR02 and ESG/Spine switches</t>
  </si>
  <si>
    <t># Autonomous system ID of the Management ToR01 switch</t>
  </si>
  <si>
    <t># Autonomous system ID of the Management ToR02 switch</t>
  </si>
  <si>
    <t># Autonomous system ID of the Management ESG and UDLR switches</t>
  </si>
  <si>
    <t># Autonomous system ID of the Edge ToR01 switch</t>
  </si>
  <si>
    <t># Autonomous system ID of the Edge ToR02 switch</t>
  </si>
  <si>
    <t># Autonomous system ID of the Edge ESG and UDLR switches</t>
  </si>
  <si>
    <t>Top of Rack 1 - IP Address</t>
  </si>
  <si>
    <t>Top of Rack 1 - Autonomous System ID</t>
  </si>
  <si>
    <t>Top of Rack 1 - BGP Neighbor Password</t>
  </si>
  <si>
    <t>Top of Rack 2 - IP Address</t>
  </si>
  <si>
    <t>Top of Rack 2 - Autonomous System ID</t>
  </si>
  <si>
    <t>Top of Rack 2 - BGP Neighbor Password</t>
  </si>
  <si>
    <t># VTEP network for Collapsed Edge/Compute VXLAN</t>
  </si>
  <si>
    <t># IP pool on the Collapsed Edge/Compute VTEP network</t>
  </si>
  <si>
    <t>NSX VTEP IP Pool Start Address - Shared POD</t>
  </si>
  <si>
    <t>NSX VTEP IP Pool End Address - Shared POD</t>
  </si>
  <si>
    <t>xRegion VXLAN - Search Domain</t>
  </si>
  <si>
    <t>xRegion VXLAN - Domain</t>
  </si>
  <si>
    <t># vROps account for configuring Storage Adapters. The user must be pre-created in the Active Directory</t>
  </si>
  <si>
    <t># VR OS credentials (for the root user)</t>
  </si>
  <si>
    <t># SRM VM IP address (in management network) and OS credentials (local administrator able to login through SSH)</t>
  </si>
  <si>
    <t># SRM embedded DB credentials</t>
  </si>
  <si>
    <t># SRM DSN for the embedded DB</t>
  </si>
  <si>
    <t># Static IPs on the replication network</t>
  </si>
  <si>
    <t>vSphere Replication Virtual Appliance Root Account</t>
  </si>
  <si>
    <t># *******************  D I S A S T E R   R E C O V E R Y  *******************</t>
  </si>
  <si>
    <t>SRM &amp; vSphere Replication</t>
  </si>
  <si>
    <t># Replication Network for Disaster Recovery</t>
  </si>
  <si>
    <t>Administrator</t>
  </si>
  <si>
    <t># Administrator credentials for Windows-based IAAS VMs (local user from the Built-in Administrators group)</t>
  </si>
  <si>
    <t>Local Administrator</t>
  </si>
  <si>
    <t>Local Account on the Windows system with membership to the local Administrators Group</t>
  </si>
  <si>
    <t>Site Recovery Manager</t>
  </si>
  <si>
    <t>vSphere Replication</t>
  </si>
  <si>
    <t>vSphere Replication Appliance</t>
  </si>
  <si>
    <t>Use Child Domain for Users</t>
  </si>
  <si>
    <t>Storage Replication IP Address</t>
  </si>
  <si>
    <t># Join domain settings for IAS Windows VMs, possible values CHILD and ROOT</t>
  </si>
  <si>
    <t>Servers - Other Settings</t>
  </si>
  <si>
    <t>Domain Join Setting for Proxy Agent VMs</t>
  </si>
  <si>
    <t>child</t>
  </si>
  <si>
    <t>Site Recovery Manager Database DSN</t>
  </si>
  <si>
    <t>Site Recovery Manager Database Port</t>
  </si>
  <si>
    <t>192.168.10.51</t>
  </si>
  <si>
    <t># Region A settings</t>
  </si>
  <si>
    <t># Region A VR and SRM instances</t>
  </si>
  <si>
    <t># vRLI load balancer FQDN</t>
  </si>
  <si>
    <t># vRO cluster load balancer FQDN and credentials</t>
  </si>
  <si>
    <t># This needs to be a user that is a member of the vRO Admins group (ug-vROAdmins-ad-group.name)</t>
  </si>
  <si>
    <t># vRA cluster load balancer FQDN</t>
  </si>
  <si>
    <t># vRA tenant in Region A</t>
  </si>
  <si>
    <t># vRA primary node VM details</t>
  </si>
  <si>
    <t># vRA IWS cluster load balancer FQDN</t>
  </si>
  <si>
    <t># vRA IMS cluster load balancer FQDN</t>
  </si>
  <si>
    <t># Remote site (region A) replication network settings</t>
  </si>
  <si>
    <t># Region A region specific network (used for adding route on Executor VM for accessing Region A vRLI/vROps, etc)</t>
  </si>
  <si>
    <t>Region B VXLAN</t>
  </si>
  <si>
    <t>Region B VXLAN - Search Domain</t>
  </si>
  <si>
    <t>Region B VXLAN - Domain</t>
  </si>
  <si>
    <t>192.168.32.1</t>
  </si>
  <si>
    <t>192.168.32.0/24</t>
  </si>
  <si>
    <t># Sub domain prefixes for configuring event forwarding between vRLI instances on Region A and B</t>
  </si>
  <si>
    <t># if specified, the two subdomain prefixes must be different</t>
  </si>
  <si>
    <t># Network settings and static IPs for VSAN VMKernel DV portgroups</t>
  </si>
  <si>
    <t># Network settings and static IPs for Replication VMKernel DV portgroups</t>
  </si>
  <si>
    <t>Region A to Region B Connectivity</t>
  </si>
  <si>
    <t>Region A - Site Recover Manager Server IP Address</t>
  </si>
  <si>
    <t>192.168.32.10</t>
  </si>
  <si>
    <t>192.168.32.11</t>
  </si>
  <si>
    <t>192.168.32.12</t>
  </si>
  <si>
    <t>192.168.32.13</t>
  </si>
  <si>
    <t>vRealize Business for Cloud  - Static IP Defined</t>
  </si>
  <si>
    <t>vRealize Business for Cloud  - Hostname Defined</t>
  </si>
  <si>
    <t>Region A Cluster FQDN</t>
  </si>
  <si>
    <t>Region A VXLAN CIDR</t>
  </si>
  <si>
    <t>Mgmt - NSX Manager IP Address</t>
  </si>
  <si>
    <t>Mgmt - vCenter IP - Region A</t>
  </si>
  <si>
    <t>Mgmt - Platform Service Controller IP - Region A</t>
  </si>
  <si>
    <t>Comp - Platform Service Controller IP - Region A</t>
  </si>
  <si>
    <t>Comp - vCenter IP - Region A</t>
  </si>
  <si>
    <t>Comp - NSX Manager IP Address</t>
  </si>
  <si>
    <t>Single Sign-On Username</t>
  </si>
  <si>
    <t>Single Sign-On Password</t>
  </si>
  <si>
    <t>Mgmt - Datastore</t>
  </si>
  <si>
    <t>Mgmt - Cluster Name</t>
  </si>
  <si>
    <t>Mgmt - NSX Manager Username &amp; Password</t>
  </si>
  <si>
    <t>Comp - Platform Service Controller Root Password</t>
  </si>
  <si>
    <t>192.168.10.4</t>
  </si>
  <si>
    <t>192.168.100.4</t>
  </si>
  <si>
    <t># This license is applied to management VCenter</t>
  </si>
  <si>
    <t># This license is applied to compute VCenter</t>
  </si>
  <si>
    <t>Management  - Edge Services Gateway (ESG)</t>
  </si>
  <si>
    <t>Compute - Edge Services Gateway (ESG)</t>
  </si>
  <si>
    <t>ESG Autonomous System ID</t>
  </si>
  <si>
    <t>ESG BGP Neighbor Password</t>
  </si>
  <si>
    <t>Management ESG Config (North/South)</t>
  </si>
  <si>
    <t>Management Top of Rack Config</t>
  </si>
  <si>
    <t>Management UDLR Config</t>
  </si>
  <si>
    <t>Compute ESG Config (North/South)</t>
  </si>
  <si>
    <t>Compute Top of Rack Config</t>
  </si>
  <si>
    <t>Region A Components</t>
  </si>
  <si>
    <t>Region A Connectivity IP Addresses Defined</t>
  </si>
  <si>
    <t>vRealize Business for Cloud Server</t>
  </si>
  <si>
    <t>vRealize Business for Cloud Root Credentials</t>
  </si>
  <si>
    <t>192.168.10.3</t>
  </si>
  <si>
    <t>192.168.100.3</t>
  </si>
  <si>
    <t>UDLR ESG Forwarding IP (Region A)</t>
  </si>
  <si>
    <t>UDLR ESG Protocol IP (Region A)</t>
  </si>
  <si>
    <t># vRealize Automation - Region B Proxy Agent IPs and  Names</t>
  </si>
  <si>
    <t># vRealize Automation - Static IPs for Region A, used as part of SRM configuration</t>
  </si>
  <si>
    <t>vRA Service Account Username and Password</t>
  </si>
  <si>
    <t># The name of the VM to be used as vRA IaaS template - leave blank for using the system-provided template. See the "Setting up a Windows Template VM for vRA IaaS nodes"</t>
  </si>
  <si>
    <t>edge-xx-1-xxxx-1</t>
  </si>
  <si>
    <t>edge-xx-1-xxxx-0</t>
  </si>
  <si>
    <t>Region A Content Library Name</t>
  </si>
  <si>
    <t>Content Library Subscription Password</t>
  </si>
  <si>
    <t>ESG Node 1 IP Address</t>
  </si>
  <si>
    <t>ESG Node 2 IP Address</t>
  </si>
  <si>
    <t>192.168.100.51</t>
  </si>
  <si>
    <t># Region A Management network settings (used for adding route to Region A on VVD DTK VM for accessing Region A management products)</t>
  </si>
  <si>
    <t># VCenter sizes - valid values are "tiny", "small", "medium", "large"</t>
  </si>
  <si>
    <t># LogInsight sizes - valid values are xsmall, small, medium, large</t>
  </si>
  <si>
    <t># vROps remote collectors sizes - valid values are smallrc and largerc</t>
  </si>
  <si>
    <t>small</t>
  </si>
  <si>
    <t>large</t>
  </si>
  <si>
    <t>medium</t>
  </si>
  <si>
    <t>smallrc</t>
  </si>
  <si>
    <t>IP Addess</t>
  </si>
  <si>
    <t># Management ESGs - valid values are compact, large, xlarge</t>
  </si>
  <si>
    <t># Compute ESGs - valid values are compact, large, xlarge</t>
  </si>
  <si>
    <t>vSwitch0</t>
  </si>
  <si>
    <t>#Name of standard switch to be migrated. The other standard switches are left intact.</t>
  </si>
  <si>
    <t>#If no value is provided, then a single standard switch is expected on each host</t>
  </si>
  <si>
    <t>#This value is used for both compute and edge hosts</t>
  </si>
  <si>
    <t># PSC load balancer edge device</t>
  </si>
  <si>
    <t># The following DNS records are required for automatically standing up the load-balanced PSC setup recommended as of VVD 4.0. There is one forward (A) and one reverse (PTR) DNS record</t>
  </si>
  <si>
    <t># involved. They have to be manually created in the DNS server and described in the properties below, before the VVD DTK run begins.</t>
  </si>
  <si>
    <t># Forward DNS record of the PSC load balancer - initially, it needs to point to the Management PSC instance IP address (e.g. sfo01psc01 -&gt; PSC-MGMT-IP). Once the VVD DTK run completes, this</t>
  </si>
  <si>
    <t># record will have to be manually changed to point to the PSC load balancer's IP address. This way, all requests of services hosted on the PSC node will be redirected through the PSC load balancer.</t>
  </si>
  <si>
    <t># Reverse DNS record of the PSC load balancer - needs to point from the PSC load balancer IP to the PSC load balancer FQDN (e.g. &lt;PSC-LB-IP&gt; -&gt; sfo01psc01). This does not change once the VVD DTK run completes.</t>
  </si>
  <si>
    <t>Platform Service Controller Load Balancer</t>
  </si>
  <si>
    <t># Names of the Management ESG-s on Region A. This is required because we need to add static routes related to Region A/Region B network communication.</t>
  </si>
  <si>
    <t># Segment ID ranges (Management NSX)</t>
  </si>
  <si>
    <t># Segment ID ranges (Compute NSX)</t>
  </si>
  <si>
    <t># Multicast address ranges (Management NSX)</t>
  </si>
  <si>
    <t># Multicast address ranges (Compute NSX)</t>
  </si>
  <si>
    <t>192.169.124.100</t>
  </si>
  <si>
    <t>Management - Segment IDs and Mutlicast Ranges</t>
  </si>
  <si>
    <t>Start</t>
  </si>
  <si>
    <t>End</t>
  </si>
  <si>
    <t>Compute - Segment IDs and Mutlicast Ranges</t>
  </si>
  <si>
    <t>NSX Segment ID Range</t>
  </si>
  <si>
    <t>NSX Multicast Address Range</t>
  </si>
  <si>
    <t># Whether PSC load balancing should be enabled during the automated deployment. In general, for external customer deployments, this has to remain 'false' auto-start-psc-load-balancing@enabled=false</t>
  </si>
  <si>
    <t>239.5.0.0</t>
  </si>
  <si>
    <t>239.5.255.255</t>
  </si>
  <si>
    <t>239.6.0.0</t>
  </si>
  <si>
    <t>239.6.255.255</t>
  </si>
  <si>
    <t>auto-start-psc-load-balancing@enabled=false</t>
  </si>
  <si>
    <t># *******************      R E G I O N   B       *******************</t>
  </si>
  <si>
    <t>VXLAN (VTEP) - DHCP Network</t>
  </si>
  <si>
    <t>Compute - Global Transit Network</t>
  </si>
  <si>
    <t>DLR ESG Forwarding IP</t>
  </si>
  <si>
    <t>DLR ESG Protocol IP</t>
  </si>
  <si>
    <t>DLR Network CIDR Notation</t>
  </si>
  <si>
    <t>192.168.102.0/24</t>
  </si>
  <si>
    <t>192.168.102.1</t>
  </si>
  <si>
    <t>192.168.102.2</t>
  </si>
  <si>
    <t>192.168.102.3</t>
  </si>
  <si>
    <t>192.168.102.4</t>
  </si>
  <si>
    <t>UDLR Network CIDR Notation</t>
  </si>
  <si>
    <t># Compute global transit network settings</t>
  </si>
  <si>
    <t># Network Settings and staitc IPs for NFS Storage</t>
  </si>
  <si>
    <t>DLR Name</t>
  </si>
  <si>
    <t>Site Recovery Manager Server</t>
  </si>
  <si>
    <t>UDLR Name</t>
  </si>
  <si>
    <t>Region B VXLAN - Logical Switch Name</t>
  </si>
  <si>
    <t>Mgmt-RegionB01-VXLAN</t>
  </si>
  <si>
    <t># An AD account to be used for installing and configuring VR. Will be assigned Administrator role in Management VCenter</t>
  </si>
  <si>
    <t># An AD account to be used for installing and configuring SRM. Will be assigned Administrator role in Management VCenter</t>
  </si>
  <si>
    <t>svc-vr</t>
  </si>
  <si>
    <t>NSX Edge Services Gateway #1 - PSC LB</t>
  </si>
  <si>
    <t>NSX Edge Services Gateway #2 - PSC LB</t>
  </si>
  <si>
    <t>Account Type</t>
  </si>
  <si>
    <t>Local</t>
  </si>
  <si>
    <t>Domain</t>
  </si>
  <si>
    <t>FTP Backup Folder - Compute</t>
  </si>
  <si>
    <t>xRegion VXLAN - Logical Switch Name</t>
  </si>
  <si>
    <t>Mgmt-xRegion01-VXLAN</t>
  </si>
  <si>
    <t>Management ESG01 on Region A</t>
  </si>
  <si>
    <t>Management ESG02 on Region A</t>
  </si>
  <si>
    <t>Host Profiles</t>
  </si>
  <si>
    <t># Host Profile Names (2 POD Only)</t>
  </si>
  <si>
    <t># Hosts needed for the management cluster, this is where we deploy all the solutions. Up to 8 hosts, 2 is the minimum.</t>
  </si>
  <si>
    <t>Site Recovery Manager Administrator Email Address</t>
  </si>
  <si>
    <t>srm-db-credentials@username=srmadmin</t>
  </si>
  <si>
    <t>srm-db-credentials@password=VMware1!</t>
  </si>
  <si>
    <t># Site Name to be used for vSphere Single-Sign-on in mgmt and comp</t>
  </si>
  <si>
    <t># Region Name used for populating vROps Objects, same value as the sso-site-name</t>
  </si>
  <si>
    <t>DNS Zones</t>
  </si>
  <si>
    <t>Root DNS Zone</t>
  </si>
  <si>
    <t>Child DNS Zone</t>
  </si>
  <si>
    <t>DNS Server #1</t>
  </si>
  <si>
    <t>DNS Server #2</t>
  </si>
  <si>
    <t>svc-vrops-mpsd</t>
  </si>
  <si>
    <t>svc-vrops-vsphere</t>
  </si>
  <si>
    <t>Region A - vRealize Automation Folder</t>
  </si>
  <si>
    <t>Region A - vRealize Operations Folder</t>
  </si>
  <si>
    <t>svc-vrops-nsx</t>
  </si>
  <si>
    <t># vROps to NSX for vSphere Adapter Credentials. The user must be pre-created in the Active Directory</t>
  </si>
  <si>
    <t># vROps to vRA Adapter Credentials. The user must be pre-created in the Active Directory</t>
  </si>
  <si>
    <t># vROps to VSAN Adapter Credentials. The user must be pre-created in the Active Directory</t>
  </si>
  <si>
    <t>svc-vrops-vsan</t>
  </si>
  <si>
    <t>svc-vrops-vra</t>
  </si>
  <si>
    <t># Defines the domain-controller-name for the VRLI AD configuration</t>
  </si>
  <si>
    <t>Local Administrators</t>
  </si>
  <si>
    <t>Region A - vSphere Appliance Root Account Password</t>
  </si>
  <si>
    <t># Region A root password for the vSphere Replication Appliance</t>
  </si>
  <si>
    <t># Region A (primary site) management cluster hosts addresses</t>
  </si>
  <si>
    <t>Region A - Management Host 1 - IP Address</t>
  </si>
  <si>
    <t>Region A - Management Host 2 - IP Address</t>
  </si>
  <si>
    <t>Region A - Management Host 3 - IP Address</t>
  </si>
  <si>
    <t>Region A - Management Host 4 - IP Address</t>
  </si>
  <si>
    <t># Resource Pools for Shared Edge and Compute Cluster</t>
  </si>
  <si>
    <t>Single-Sign-On Site Name - Region B</t>
  </si>
  <si>
    <t>Single-Sign-On Site Name - Region A</t>
  </si>
  <si>
    <t>Region A Event Forwarding Filter Tag</t>
  </si>
  <si>
    <t>Region B  Event Forwarding Filter Tag</t>
  </si>
  <si>
    <t># vROps account for configuring vRLI integration with vROps. The user must be pre-created in the Active Directory</t>
  </si>
  <si>
    <t>svc-vrli-vrops</t>
  </si>
  <si>
    <t>vRealize Log Insight to vRealize Operations Integration
Assigned vRealize Operations Manager Roles (Administrator - All Objects)</t>
  </si>
  <si>
    <t>svc-srm</t>
  </si>
  <si>
    <t>Root - Domain Name</t>
  </si>
  <si>
    <t>Root - Domain Alias</t>
  </si>
  <si>
    <t xml:space="preserve">Root - Base DN Users </t>
  </si>
  <si>
    <t>Root - Base DN Group</t>
  </si>
  <si>
    <t>Root - Server URL</t>
  </si>
  <si>
    <t>Child - Domain Prefix</t>
  </si>
  <si>
    <t>Child - Domain Alias</t>
  </si>
  <si>
    <t>Active Directory</t>
  </si>
  <si>
    <t>Skip Configuration of SRM Mappings, Protection Groups &amp; Recovery Plans</t>
  </si>
  <si>
    <t># Folder Names Comp Cluster - Automatically formulated in XLS using sso-site-name@value= + static values</t>
  </si>
  <si>
    <t># Folder Names Mgmt Cluster - Automatically formulated in XLS using sso-site-name@value= + static values</t>
  </si>
  <si>
    <t>Virtual Infrastructure Layer</t>
  </si>
  <si>
    <t>Operations Management Layer</t>
  </si>
  <si>
    <t>Cloud Management Layer</t>
  </si>
  <si>
    <t>svc-vrops-srm</t>
  </si>
  <si>
    <t># vROps account for configuring SRM Management Pak - SRM Adapter Credentials. The user must be pre-created in the Active Directory</t>
  </si>
  <si>
    <t>lax01</t>
  </si>
  <si>
    <t>sfo01</t>
  </si>
  <si>
    <t>rainpole.local</t>
  </si>
  <si>
    <t>lax01.rainpole.local</t>
  </si>
  <si>
    <t>smtp.rainpole.local</t>
  </si>
  <si>
    <t>ftp.lax01.rainpole.local</t>
  </si>
  <si>
    <t>vra01svr01.rainpole.local</t>
  </si>
  <si>
    <t>vrli-do-not-reply@rainpole.local</t>
  </si>
  <si>
    <t>administrator@rainpole.local</t>
  </si>
  <si>
    <t>lax01m01esx01.lax01.rainpole.local</t>
  </si>
  <si>
    <t>lax01m01esx02.lax01.rainpole.local</t>
  </si>
  <si>
    <t>lax01m01esx03.lax01.rainpole.local</t>
  </si>
  <si>
    <t>lax01m01esx04.lax01.rainpole.local</t>
  </si>
  <si>
    <t>lax01w01esx01.lax01.rainpole.local</t>
  </si>
  <si>
    <t>lax01w01esx02.lax01.rainpole.local</t>
  </si>
  <si>
    <t>lax01w01esx03.lax01.rainpole.local</t>
  </si>
  <si>
    <t>lax01w01esx04.lax01.rainpole.local</t>
  </si>
  <si>
    <t>dc51lax</t>
  </si>
  <si>
    <t>192.168.11.1</t>
  </si>
  <si>
    <t>192.168.11.0/24</t>
  </si>
  <si>
    <t>192.168.11.2</t>
  </si>
  <si>
    <t>192.168.11.51</t>
  </si>
  <si>
    <t>192.168.11.52</t>
  </si>
  <si>
    <t>192.168.11.54</t>
  </si>
  <si>
    <t>192.168.11.55</t>
  </si>
  <si>
    <t>192.168.11.57</t>
  </si>
  <si>
    <t>192.168.11.58</t>
  </si>
  <si>
    <t>192.168.11.60</t>
  </si>
  <si>
    <t>192.168.11.61</t>
  </si>
  <si>
    <t>192.168.11.53</t>
  </si>
  <si>
    <t>192.168.11.56</t>
  </si>
  <si>
    <t>192.168.11.59</t>
  </si>
  <si>
    <t>vra01svr01a.rainpole.local</t>
  </si>
  <si>
    <t>192.168.11.66</t>
  </si>
  <si>
    <t>192.168.11.35</t>
  </si>
  <si>
    <t>192.168.11.31</t>
  </si>
  <si>
    <t>192.168.11.32</t>
  </si>
  <si>
    <t>192.168.11.33</t>
  </si>
  <si>
    <t>192.168.31.0/24</t>
  </si>
  <si>
    <t>sfo01vrli01.sfo01.rainpole.local</t>
  </si>
  <si>
    <t>dc=rainpole,dc=local</t>
  </si>
  <si>
    <t>DNS1</t>
  </si>
  <si>
    <t>DNS2</t>
  </si>
  <si>
    <t>DNS3</t>
  </si>
  <si>
    <t>DNS4</t>
  </si>
  <si>
    <t>DNS5</t>
  </si>
  <si>
    <t>DNS6</t>
  </si>
  <si>
    <t>DNS7</t>
  </si>
  <si>
    <t>DNS8</t>
  </si>
  <si>
    <t>DNS9</t>
  </si>
  <si>
    <t>DNS10</t>
  </si>
  <si>
    <t>DNS11</t>
  </si>
  <si>
    <t>DOMAIN</t>
  </si>
  <si>
    <t>IPAddress</t>
  </si>
  <si>
    <t>FileName</t>
  </si>
  <si>
    <t>Mgmt Host - esx01</t>
  </si>
  <si>
    <t>Mgmt Host - esx02</t>
  </si>
  <si>
    <t>Mgmt Host - esx03</t>
  </si>
  <si>
    <t>Mgmt Host - esx04</t>
  </si>
  <si>
    <t>Mgmt Host - esx05</t>
  </si>
  <si>
    <t>Mgmt Host - esx06</t>
  </si>
  <si>
    <t>Mgmt Host - esx07</t>
  </si>
  <si>
    <t>Mgmt Host - esx08</t>
  </si>
  <si>
    <t>Edge Host - esx01</t>
  </si>
  <si>
    <t>Edge Host - esx02</t>
  </si>
  <si>
    <t>Edge Host - esx03</t>
  </si>
  <si>
    <t>Edge Host - esx04</t>
  </si>
  <si>
    <t>Mgmt vCenter</t>
  </si>
  <si>
    <t>Comp vCenter</t>
  </si>
  <si>
    <t>Mgmt PSC</t>
  </si>
  <si>
    <t>Load Balancer - PSC</t>
  </si>
  <si>
    <t>Mgmt NSX</t>
  </si>
  <si>
    <t>Comp NSX</t>
  </si>
  <si>
    <t>ug-vROAdmins</t>
  </si>
  <si>
    <t>ug-SDDC-Admins</t>
  </si>
  <si>
    <t>ug-vCenterAdmins</t>
  </si>
  <si>
    <t># Storage Gateways Used for DTK.Next</t>
  </si>
  <si>
    <t>Date</t>
  </si>
  <si>
    <t>Added 'StorageManagementNetwork.gateway=' and 'StorageComputeNetwork.gateway=' properties to capture and pass the default gateway for the external storage network.</t>
  </si>
  <si>
    <t>29/02/2018</t>
  </si>
  <si>
    <t>Remove all mimic spine/leaf values passed via the 'Environmental Tweaks' tab
    - spine-mgmt-edge-device-creation-name@value=
    - tor-01-mgmt-edge-device-creation-name@value=
    - tor-02-mgmt-edge-device-creation-name@value=
    - tor-01-compute-edge-device-creation-name@value=
    - tor-02-compute-edge-device-creation-name@value=
    - spineEdgeGatewayExternalIp.address=
    - mgmtTor01RegionRoutingPrimaryIp.address=
    - mgmtTor02RegionRoutingPrimaryIp.address=
    - edgeTor01RegionRoutingPrimaryIp.address=
    - edgeTor02RegionRoutingPrimaryIp.address=
    - vds-management-initial-configuration@dvPortGroups[8].name=
    - vds-edge-initial-configuration@dvPortGroups[6].name=
    - regionRoutingNetwork.cidrNotation=
    - spineEdgeGatewayManagementIp.address=
    - spineRegionRoutingIp.address=
    - spineEdgeGatewayComputeIp.address=
    - spineEdgeGatewayEdgeIp.address=
    - vds-management-initial-configuration@dvPortGroups[9].name=
    - vds-management-initial-configuration@dvPortGroups[10].name=
    - vlan-region-routing.vlanId=</t>
  </si>
  <si>
    <t>Remove all values passed that relate to 'ext-management' portgroup in Hosts and Networks tab, also removed the following properties in the config file:
    - vds-management-initial-configuration@dvPortGroups[1].name=
    - vlan-management-external-management.vlanId=
    - externalNetwork.gateway=
    - externalNetwork.primaryDns=
    - externalNetwork.secondaryDns=
    - externalNetwork.searchDomain=
    - externalNetwork.cidrNotation=
Removed all references to vSphere Data Protection:
    - vdpMgmtIp1.address=
    - vdp-storage-configuration.name=
    - vdp-root-credentials@password=
    - vdp-mgmt-1-deployment-vmname=
    - vdp-certificate@relativeLocation=
    - vdp-certificate@password=
    - local-dns-records@records['vdpMgmtIp1']=</t>
  </si>
  <si>
    <t>svc-vrli-vsphere</t>
  </si>
  <si>
    <t>vRealize Log Insight to Active Directly Integration</t>
  </si>
  <si>
    <t>Removed individual references to certificate files and paths:
    - root-certificate@relativeLocation=
    - vc-mgmt-certificate@relativeLocation=
    - vc-mgmt-certificate@relativeKeyPath=
    - vc-comp-certificate@relativeLocation=
    - vc-comp-certificate@relativeKeyPath=
    - psc-certificate@relativeLocation=
    - psc-certificate@relativeKeyPath=
    - nsx-mgmt-certificate@relativeLocation=
    - nsx-mgmt-certificate@password=
    - nsx-comp-certificate@relativeLocation=
    - nsx-comp-certificate@password=
    - vra-pfx-certificate@password=
    - vra-pfx-certificate@password=
    - vra-certificate@relativeLocation=
    - vra-certificate@relativeKeyPath=
    - vra-certificate@password=
    - vra-iaas-web-pfx-certificate@relativeLocation=
    - vra-iaas-web-pfx-certificate@password=
    - vra-iaas-web-certificate@relativeLocation=
    - vra-iaas-web-certificate@relativeKeyPath=
    - vra-iaas-web-certificate@password=
    - vrb-certificate@relativeLocation=
    - vrb-certificate@password=
    - vrops-cluster-certificate@relativeLocation=
    - logInsight-certificate@relativeLocation=
    - vr-certificate@relativeLocation=
    - vr-certificate@password=
    - srm-certificate@relativeLocation=
    - srm-certificate@password=</t>
  </si>
  <si>
    <t>Keystore Password Used with CertGen Utility</t>
  </si>
  <si>
    <t>Step 2 - Run Parameters</t>
  </si>
  <si>
    <t>Skip the Validation of BGP Configuration</t>
  </si>
  <si>
    <t>vRealize Business for Cloud</t>
  </si>
  <si>
    <t># Product selection, setting values to false skips the deployment of that product</t>
  </si>
  <si>
    <t># Configure VSAN - valid values are true or false</t>
  </si>
  <si>
    <t>Adjusted the skip AD join values to be true or false from root, child and none and modified the paramter
    - vcenter-compute-esx-authentication@joinDomain= to skip-esx-joinDomain-comp=
    - vcenter-mgmt-esx-authentication@joinDomain= to skip-esx-joinDomain-mgmt=</t>
  </si>
  <si>
    <t># Join ESXi Hosts to Active Directory - valid values are true or false</t>
  </si>
  <si>
    <t>Added 'workflowName' property to allow for XSL input validation:
    - workflowName.mgmt=
    - workflowName.compute=</t>
  </si>
  <si>
    <t>Added Deployment Configuration section in the Environmentals tab to exclude various elements of the deployment:
    - excludedComponent.VRSLCM=
    - excludedComponent.VROPS=
    - excludedComponent.LogInsight=
    - excludedComponent.VRA=
    - excludedComponent.VRB=
Added the ability to exlcude deployment of VSAN
    - excludedComponent.VSAN-mgmt=
    - excludedComponent.VSAN-compute=</t>
  </si>
  <si>
    <t>Altered the default values for workflowName to follow the following syntax: =SLconfig/vvd-std-rega-mgmt and =SLconfig/vvd-std-regb-comp</t>
  </si>
  <si>
    <t>Added new properties to define the vmnic allocated to vSwitch0:
    - management-hosts-vmnic=
    - compute-hosts-vmnic=</t>
  </si>
  <si>
    <t>vmnic0</t>
  </si>
  <si>
    <t>Business Continuity Layer</t>
  </si>
  <si>
    <t>Site Recovery Manager &amp; vSphere Replication</t>
  </si>
  <si>
    <t>Added the ability to exclude Disaster Recovery in the Environments Tweaks Tab:
    - excludedComponent.DisasterRecovery=</t>
  </si>
  <si>
    <t>Removed dedicated compute values (old 3-POD design) - Too many propeties to reference in detail 
Added 4 additional hosts for the Shared Edge &amp; Compute Cluster:
    - esxi.edge-x.address= x 4 entires
    - esx-edge-xVmotionVmkernelIp.address= x 4 entries
    - esx-edge-xVsanVmkernelIp.address= x 4 entires
    - esx-edge-xStorageVmkernelIp.address= x 4 entires
Removed special values added for DTK.Current to handle switching between 2-POD and 3-POD:
    - vlan-collapsed-edge-compute-management.vlanId=
    - vlan-collapsed-edge-compute-vmotion.vlanId=
    - vlan-collapsed-edge-compute-vxlan.vlanId=
    - vlan-collapsed-edge-compute-storage.vlanId=
    - vlan-collapsed-edge-compute-vsan.vlanId=
    - vlan-collapsed-edge-compute-uplink-01.vlanId=
    - vlan-collapsed-edge-compute-uplink-02.vlanId=
    - vlan-collapsed-edge-compute-management-mtu@mtu=
    - vlan-collapsed-edge-compute-storage-mtu@mtu=</t>
  </si>
  <si>
    <t># Shared Edge and Compute Cluster - Hostname and IP Address. Up to 8 hosts, 1 is the minimum with out VSAN or 3 with VSAN</t>
  </si>
  <si>
    <t># Shared Edge and Compute Cluster - Network settings and static IPs for vMotion VMKernel DV portgroups</t>
  </si>
  <si>
    <t># Shared Edge and Compute Cluster - Network settings and static IPs for VSAN VMKernel DV portgroups</t>
  </si>
  <si>
    <t># Shared Edge and Compute Cluster - Network Settings and staitc IPs for NFS Storage</t>
  </si>
  <si>
    <t># Shared Edge and Compute Cluster - Management VLAN</t>
  </si>
  <si>
    <t># vMotion MTU</t>
  </si>
  <si>
    <t>Datastore Name - Management</t>
  </si>
  <si>
    <t>Datastore Name - Shared Edge &amp; Compute</t>
  </si>
  <si>
    <t>Datacenter Name - Management</t>
  </si>
  <si>
    <t>Datacenter Name - Shared Edge &amp; Compute</t>
  </si>
  <si>
    <t>Cluster Name - Shared Edge &amp; Compute</t>
  </si>
  <si>
    <t># *******************  R U N    P A R A M E T E R S *******************</t>
  </si>
  <si>
    <t>vDS - Management</t>
  </si>
  <si>
    <t>vDS - Shared Edge &amp; Compute</t>
  </si>
  <si>
    <t>Host Profile Name - Management</t>
  </si>
  <si>
    <t>Host Profile Name - Shared Edge &amp; Compute</t>
  </si>
  <si>
    <t>Physical NIC to Assign to vDS - Shared Edge &amp; Compute</t>
  </si>
  <si>
    <t>vra01svr01c</t>
  </si>
  <si>
    <t>192.168.11.50</t>
  </si>
  <si>
    <t>vra01svr01a</t>
  </si>
  <si>
    <t>vra01svr01b</t>
  </si>
  <si>
    <t>vra01iws01a</t>
  </si>
  <si>
    <t>vra01iws01b</t>
  </si>
  <si>
    <t>vra01ims01a</t>
  </si>
  <si>
    <t>vra01ims01b</t>
  </si>
  <si>
    <t>vra01dem01a</t>
  </si>
  <si>
    <t>vra01dem01b</t>
  </si>
  <si>
    <t># vRealize Automation - VM Names</t>
  </si>
  <si>
    <t>vrops01svr01</t>
  </si>
  <si>
    <t>vrops01svr01a</t>
  </si>
  <si>
    <t>vrops01svr01b</t>
  </si>
  <si>
    <t>vrops01svr01c</t>
  </si>
  <si>
    <t>#vROps - VM Names for Management Products</t>
  </si>
  <si>
    <t>dlr-xx-1-xxxx-0</t>
  </si>
  <si>
    <t>dlr-xx-1-xxxx-1</t>
  </si>
  <si>
    <t>NSX Edge Services Gateway  #1 - DLR</t>
  </si>
  <si>
    <t>NSX Edge Services Gateway  #2 - DLR</t>
  </si>
  <si>
    <t>Renamed the 'Environmental Tweaks' tab to 'Run Parameters'
Removed the cluster admission control percentages:
   - management-cluster-cpu-failover-percent@value=
   - management-cluster-memory-failover-percent@value=
   - edge-cluster-cpu-failover-percent@value=
   - edge-cluster-memory-failover-percent@value=
   - compute-cluster-cpu-failover-percent@value=
   - compute-cluster-memory-failover-percent@value=
Added hostnames for vRA and vROPs systems:
    - vra-deployment-1-vmname=
    - vra-deployment-2-vmname=
    - vra-deployment-3-vmname=
    - vra-iws-deployment-1-vmname=
    - vra-iws-deployment-2-vmname=
    - vra-ims-deployment-1-vmname=
    - vra-ims-deployment-2-vmname=
    - vra-dem-deployment-1-vmname=
    - vra-dem-deployment-2-vmname=
    - vrops-master-deployment-vmname=
    - vrops-replica-deployment-vmname=
    - vrops-datanode-deployment-vmname=
Renamed SRM/vR exclude components
    - excludedComponent.DRDeployment= from excludedComponent.DisasterRecovery
    - excludedComponent.DRConfiguration= from skip-dr-configuration@value=
Remove the Run Parameter to skip Compute as no not needed as they are seperate workflowa in DTK.Next:
    - skip-compute-cluster-creation@value</t>
  </si>
  <si>
    <t>Protected by Backup</t>
  </si>
  <si>
    <t>Virtual Infrastructure Totals</t>
  </si>
  <si>
    <t>Operations Management Totals</t>
  </si>
  <si>
    <t>Cloud Management Platform Totals</t>
  </si>
  <si>
    <t>Business Continuity Totals</t>
  </si>
  <si>
    <t>SDDC Totals</t>
  </si>
  <si>
    <t>Thick Provisioned</t>
  </si>
  <si>
    <t># Skip BGP Validation Tasks</t>
  </si>
  <si>
    <t>Added properties to capture default gateway of Uplink Networks:
    - mgmtUplink01Network.gateway=
    - mgmtUplink02Network.gateway=
    - edgeUplink01Network.gateway=
    - edgeUplink02Network.gateway=</t>
  </si>
  <si>
    <t>ug-vra-admins-rainpole</t>
  </si>
  <si>
    <t>Adjusted the formula that calculates the LDAP address to pull hostname rather than IP address
Updated the Tenant Admin and Tenant Architect groups to use new VVD naming in Users and Groups</t>
  </si>
  <si>
    <t>Removed VM Size Setting for individual vRLI Nodes and collapsed to single value for all nodes as per new JSON Spec and renamed property accordingly
    - Renamed logInsight-master-deployment@deploymentModel= to logInsight-deployment@deploymentModel=
    - Removed logInsight-worker-1-deployment@deploymentModel=
    - Removed logInsight-worker-2-deployment@deploymentModel=</t>
  </si>
  <si>
    <t>vRealize Log Insight Cluster Nodes (Medium)</t>
  </si>
  <si>
    <t>Component</t>
  </si>
  <si>
    <t>Customer Comment</t>
  </si>
  <si>
    <r>
      <rPr>
        <b/>
        <sz val="10"/>
        <color theme="1"/>
        <rFont val="Metropolis"/>
      </rPr>
      <t>External Storage</t>
    </r>
    <r>
      <rPr>
        <sz val="10"/>
        <color theme="1"/>
        <rFont val="Metropolis"/>
      </rPr>
      <t xml:space="preserve"> - All ESXi hosts must be configured with the following settings:
  - Shared storage presented to each ESXi host and datastore named (NFS, FC, iSCSI)
     - NFS/iSCSI, Portgroup created with valid VLAN ID, and relevant VMKernels created
     - FC, Zoning configured</t>
    </r>
  </si>
  <si>
    <t>DNS Configuration - Pre-Configured</t>
  </si>
  <si>
    <r>
      <rPr>
        <b/>
        <sz val="10"/>
        <color theme="1"/>
        <rFont val="Metropolis"/>
      </rPr>
      <t>Virtual Infrastructure Layer</t>
    </r>
    <r>
      <rPr>
        <sz val="10"/>
        <color theme="1"/>
        <rFont val="Metropolis"/>
      </rPr>
      <t xml:space="preserve"> - All proposed hostnames are resolvable for forward, reverse, short name and long name resolution.
  - Platform Services Controller 
  - vCenter Server
  - NSX Manager</t>
    </r>
  </si>
  <si>
    <r>
      <rPr>
        <b/>
        <sz val="10"/>
        <color theme="1"/>
        <rFont val="Metropolis"/>
      </rPr>
      <t xml:space="preserve">Cloud Management Layer </t>
    </r>
    <r>
      <rPr>
        <sz val="10"/>
        <color theme="1"/>
        <rFont val="Metropolis"/>
      </rPr>
      <t>- All proposed hostnames are resolvable for forward, reverse, short name and long name resolution.
  - vRealize Automation
  - vRealize Business for Cloud</t>
    </r>
  </si>
  <si>
    <r>
      <rPr>
        <b/>
        <sz val="10"/>
        <color theme="1"/>
        <rFont val="Metropolis"/>
      </rPr>
      <t>Business Continuity Layer</t>
    </r>
    <r>
      <rPr>
        <sz val="10"/>
        <color theme="1"/>
        <rFont val="Metropolis"/>
      </rPr>
      <t xml:space="preserve"> - All proposed hostnames are resolvable for forward, reverse, short name and long name resolution.
  - Site Recovery Manager
  - vSphere Replication</t>
    </r>
  </si>
  <si>
    <t>Active Directory Service Accounts - Pre-Configured</t>
  </si>
  <si>
    <r>
      <rPr>
        <b/>
        <sz val="10"/>
        <color theme="1"/>
        <rFont val="Metropolis"/>
      </rPr>
      <t>Service Accounts</t>
    </r>
    <r>
      <rPr>
        <sz val="10"/>
        <color theme="1"/>
        <rFont val="Metropolis"/>
      </rPr>
      <t xml:space="preserve"> - All application-to-application service accounts and groups required in Active Directory must be pre-created by the customer. See Users and Groups tab.</t>
    </r>
  </si>
  <si>
    <r>
      <rPr>
        <b/>
        <sz val="10"/>
        <color theme="1"/>
        <rFont val="Metropolis"/>
      </rPr>
      <t>Microsoft Certificate Authority</t>
    </r>
    <r>
      <rPr>
        <sz val="10"/>
        <color theme="1"/>
        <rFont val="Metropolis"/>
      </rPr>
      <t xml:space="preserve">
  - Create Microsoft Certificate Authority Template
  - Enable the Microsoft Certificate Authority Template</t>
    </r>
  </si>
  <si>
    <r>
      <rPr>
        <b/>
        <sz val="10"/>
        <color theme="1"/>
        <rFont val="Metropolis"/>
      </rPr>
      <t>Microsoft SQL Server</t>
    </r>
    <r>
      <rPr>
        <sz val="10"/>
        <color theme="1"/>
        <rFont val="Metropolis"/>
      </rPr>
      <t xml:space="preserve"> - Configure the following settings:
  - Enable Microsoft Distributed Transaction Coordinator (MSDTC)
  - Create the vRealize Automation database login
  - Create an empty databases for vRealize Automation</t>
    </r>
  </si>
  <si>
    <t>Local Account with memership to built-in Administrators Group on the Windows Server where SRM will be installed.</t>
  </si>
  <si>
    <t>Service Account used for Site Recovery Manager</t>
  </si>
  <si>
    <t>Service Account used for vSphere Replication</t>
  </si>
  <si>
    <r>
      <t xml:space="preserve">Instructions: </t>
    </r>
    <r>
      <rPr>
        <sz val="10.5"/>
        <color rgb="FFFF0000"/>
        <rFont val="Metropolis"/>
      </rPr>
      <t xml:space="preserve">Use this tab to discuss with the customer the pre-requisites required in order to implement the SDDC solution. Customer should supply information against each yellow box during the planning phase of the engagement.  If a value is not required enter 'n/a'. </t>
    </r>
    <r>
      <rPr>
        <b/>
        <sz val="11"/>
        <color theme="1"/>
        <rFont val="Metropolis"/>
      </rPr>
      <t>Grey cells are populated automatically, the values can be over-ridded but you will loose the original formula in such scenarios.</t>
    </r>
  </si>
  <si>
    <r>
      <t xml:space="preserve">Instructions: </t>
    </r>
    <r>
      <rPr>
        <sz val="10"/>
        <color rgb="FFFF0000"/>
        <rFont val="Metropolis"/>
      </rPr>
      <t xml:space="preserve">Use this tab to discuss with the customer and capture the configuration paramaters required in order to implement the SDDC platform. Customer will need to supply information against each yellow box during the planning phase of the engagement in order for the platform to be built. Enter 'n/a' for values not required </t>
    </r>
    <r>
      <rPr>
        <sz val="10"/>
        <rFont val="Metropolis"/>
      </rPr>
      <t>(Existing values are just examples)</t>
    </r>
    <r>
      <rPr>
        <sz val="10"/>
        <color rgb="FFFF0000"/>
        <rFont val="Metropolis"/>
      </rPr>
      <t xml:space="preserve">. If a cell turns red then the property is a required value, the data entered has failed validation or it must have 'n/a; entered and it should be fixed before proceeding. </t>
    </r>
    <r>
      <rPr>
        <b/>
        <sz val="10"/>
        <color theme="1"/>
        <rFont val="Metropolis"/>
      </rPr>
      <t>Grey cells are populated automatically, the values can be over-ridded but you will loose the original formula in such scenarios.</t>
    </r>
  </si>
  <si>
    <r>
      <t xml:space="preserve">Instructions: </t>
    </r>
    <r>
      <rPr>
        <sz val="10"/>
        <color rgb="FFFF0000"/>
        <rFont val="Metropolis"/>
      </rPr>
      <t xml:space="preserve">Use this tab to discuss with the customer the parameters needed to create a tenant within vRealize Automation. The automated deployment can automatically create a new tenant based on these settings. </t>
    </r>
    <r>
      <rPr>
        <sz val="10"/>
        <rFont val="Metropolis"/>
      </rPr>
      <t>(Existing values are just examples)</t>
    </r>
    <r>
      <rPr>
        <sz val="10"/>
        <color rgb="FFFF0000"/>
        <rFont val="Metropolis"/>
      </rPr>
      <t xml:space="preserve">. The default values could be left to deploy a demonstration tenant based on Rainpole.  </t>
    </r>
    <r>
      <rPr>
        <b/>
        <sz val="10"/>
        <color rgb="FFFF0000"/>
        <rFont val="Metropolis"/>
      </rPr>
      <t>If a cell turns red then the property is a required value or the data entered has failed validation and it should be fixed before proceeding.</t>
    </r>
    <r>
      <rPr>
        <b/>
        <sz val="10"/>
        <color theme="1"/>
        <rFont val="Metropolis"/>
      </rPr>
      <t xml:space="preserve"> Grey cells are populated automatically, the values can be over-ridded but you will loose the original formula in such scenarios.</t>
    </r>
  </si>
  <si>
    <t>Edge Host - esx05</t>
  </si>
  <si>
    <t>Edge Host - esx06</t>
  </si>
  <si>
    <t>Edge Host - esx07</t>
  </si>
  <si>
    <t>Edge Host - esx08</t>
  </si>
  <si>
    <t>Updated Prerequisites section and adjusted formatting
Adjusted the layout for Groups to provide more screen space for service accounts</t>
  </si>
  <si>
    <t>vRB_Currencies</t>
  </si>
  <si>
    <t>Timezone_Index</t>
  </si>
  <si>
    <t>Name_of_Time Zone</t>
  </si>
  <si>
    <t>EVC_Settings</t>
  </si>
  <si>
    <t>AED - UAE Dirham</t>
  </si>
  <si>
    <t>Dateline Standard Time</t>
  </si>
  <si>
    <t>ALL - Albanian Lek</t>
  </si>
  <si>
    <t>Samoa Standard Time</t>
  </si>
  <si>
    <t>intel-merom</t>
  </si>
  <si>
    <t>ARS - Argentine Peso</t>
  </si>
  <si>
    <t>Hawaiian Standard Time</t>
  </si>
  <si>
    <t>intel-penryn</t>
  </si>
  <si>
    <t>AUD - Australian Dollar</t>
  </si>
  <si>
    <t>Alaskan Standard Time</t>
  </si>
  <si>
    <t>intel-nehalem</t>
  </si>
  <si>
    <t>AWG - Arubian Florin</t>
  </si>
  <si>
    <t>Pacific Standard Time</t>
  </si>
  <si>
    <t>intel-westmere</t>
  </si>
  <si>
    <t>BBD - Barbadian Dollar</t>
  </si>
  <si>
    <t>Mountain Standard Time</t>
  </si>
  <si>
    <t>intel-sandybridge</t>
  </si>
  <si>
    <t>BDT - Bangladeshi Taka</t>
  </si>
  <si>
    <t>Mexico Standard Time 2</t>
  </si>
  <si>
    <t>intel-ivybridge</t>
  </si>
  <si>
    <t>BGN - Bulgarian Lev</t>
  </si>
  <si>
    <t>U.S. Mountain Standard Time</t>
  </si>
  <si>
    <t>intel-haswell</t>
  </si>
  <si>
    <t>BHD - Bahraini Dinar</t>
  </si>
  <si>
    <t>Central Standard Time</t>
  </si>
  <si>
    <t>intel-broadwell</t>
  </si>
  <si>
    <t>BIF - Burundi Franc</t>
  </si>
  <si>
    <t>Canada Central Standard Time</t>
  </si>
  <si>
    <t>amd-rev-f</t>
  </si>
  <si>
    <t>BMD - Bermudian Dollar</t>
  </si>
  <si>
    <t>Mexico Standard Time</t>
  </si>
  <si>
    <t>amd-greyhound-no3dnow</t>
  </si>
  <si>
    <t>BND - Brunei Dollar</t>
  </si>
  <si>
    <t>Central America Standard Time</t>
  </si>
  <si>
    <t>amd-greyhound</t>
  </si>
  <si>
    <t>BOB - Bolivian Boliviano</t>
  </si>
  <si>
    <t>Eastern Standard Time</t>
  </si>
  <si>
    <t>amd-bulldozer</t>
  </si>
  <si>
    <t>BRL - Brazilian Real</t>
  </si>
  <si>
    <t>U.S. Eastern Standard Time</t>
  </si>
  <si>
    <t>amd-piledriver</t>
  </si>
  <si>
    <t>BSD - Bahamian Dollar</t>
  </si>
  <si>
    <t>S.A. Pacific Standard Time</t>
  </si>
  <si>
    <t>BWP - Botswana Pula</t>
  </si>
  <si>
    <t>Atlantic Standard Time</t>
  </si>
  <si>
    <t>BZD - Belize Dollar</t>
  </si>
  <si>
    <t>S.A. Western Standard Time</t>
  </si>
  <si>
    <t>CAD - Canadian Dollar</t>
  </si>
  <si>
    <t>Pacific S.A. Standard Time</t>
  </si>
  <si>
    <t>CDF - Congolese Franc</t>
  </si>
  <si>
    <t>Newfoundland and Labrador Standard Time</t>
  </si>
  <si>
    <t>CHF - Swiss Franc</t>
  </si>
  <si>
    <t>E. South America Standard Time</t>
  </si>
  <si>
    <t>CLP - Chilean Peso</t>
  </si>
  <si>
    <t>S.A. Eastern Standard Time</t>
  </si>
  <si>
    <t>CNY - China Yuan Renminbi</t>
  </si>
  <si>
    <t>Greenland Standard Time</t>
  </si>
  <si>
    <t>COP - Colombian Peso</t>
  </si>
  <si>
    <t>Mid-Atlantic Standard Time</t>
  </si>
  <si>
    <t>CRC - Costa Rican Colon</t>
  </si>
  <si>
    <t>Azores Standard Time</t>
  </si>
  <si>
    <t>CUP - Cuban Peso</t>
  </si>
  <si>
    <t>Cape Verde Standard Time</t>
  </si>
  <si>
    <t>CVE - Cape Verdean Escuso</t>
  </si>
  <si>
    <t>GMT Standard Time</t>
  </si>
  <si>
    <t>CZK - Czech Koruna</t>
  </si>
  <si>
    <t>Greenwich Standard Time</t>
  </si>
  <si>
    <t>DJF - Djiboutian Franc</t>
  </si>
  <si>
    <t>Central Europe Standard Time</t>
  </si>
  <si>
    <t>DKK - Danish Krone</t>
  </si>
  <si>
    <t>Central European Standard Time</t>
  </si>
  <si>
    <t>DOP - Dominican peso</t>
  </si>
  <si>
    <t>Romance Standard Time</t>
  </si>
  <si>
    <t>DZD - Algerian Dinar</t>
  </si>
  <si>
    <t>W. Europe Standard Time</t>
  </si>
  <si>
    <t>EGP - Egyptian Pound</t>
  </si>
  <si>
    <t>W. Central Africa Standard Time</t>
  </si>
  <si>
    <t>ETB - Etiopian Birr</t>
  </si>
  <si>
    <t>E. Europe Standard Time</t>
  </si>
  <si>
    <t>EUR - Euro</t>
  </si>
  <si>
    <t>Egypt Standard Time</t>
  </si>
  <si>
    <t>FJD - Fijian Dollar</t>
  </si>
  <si>
    <t>FLE Standard Time</t>
  </si>
  <si>
    <t>GBP - British Pound</t>
  </si>
  <si>
    <t>GTB Standard Time</t>
  </si>
  <si>
    <t>GHS - Ghanaian Cedi</t>
  </si>
  <si>
    <t>Israel Standard Time</t>
  </si>
  <si>
    <t>GMD - Gambian Dalasi</t>
  </si>
  <si>
    <t>South Africa Standard Time</t>
  </si>
  <si>
    <t>GNF - Guinean Franc</t>
  </si>
  <si>
    <t>Russian Standard Time</t>
  </si>
  <si>
    <t>GTQ - Guatemalan Quetzal</t>
  </si>
  <si>
    <t>Arab Standard Time</t>
  </si>
  <si>
    <t>HKD - Hong Kong Dollar</t>
  </si>
  <si>
    <t>E. Africa Standard Time</t>
  </si>
  <si>
    <t>HNL - Honduran Lempira</t>
  </si>
  <si>
    <t>Arabic Standard Time</t>
  </si>
  <si>
    <t>HRK - Croatian Kuna</t>
  </si>
  <si>
    <t>Iran Standard Time</t>
  </si>
  <si>
    <t>HTG - Haitian Gourde</t>
  </si>
  <si>
    <t>Arabian Standard Time</t>
  </si>
  <si>
    <t>HUF - Hungarian Forint</t>
  </si>
  <si>
    <t>Caucasus Standard Time</t>
  </si>
  <si>
    <t>IDR - Indonesia Rupiah</t>
  </si>
  <si>
    <t>Transitional Islamic State of Afghanistan Standard Time</t>
  </si>
  <si>
    <t>ILS - Israeli Shekel</t>
  </si>
  <si>
    <t>Ekaterinburg Standard Time</t>
  </si>
  <si>
    <t>INR - Indian Rupee</t>
  </si>
  <si>
    <t>West Asia Standard Time</t>
  </si>
  <si>
    <t>IQD - Iraqi Dinar</t>
  </si>
  <si>
    <t>India Standard Time</t>
  </si>
  <si>
    <t>ISK - Icelandic Krona</t>
  </si>
  <si>
    <t>Nepal Standard Time</t>
  </si>
  <si>
    <t>JMD - Jamaican Dollar</t>
  </si>
  <si>
    <t>Central Asia Standard Time</t>
  </si>
  <si>
    <t>JOD - Jordanian Dinar</t>
  </si>
  <si>
    <t>Sri Lanka Standard Time</t>
  </si>
  <si>
    <t>JPY - Japanese Yen</t>
  </si>
  <si>
    <t>N. Central Asia Standard Time</t>
  </si>
  <si>
    <t>KES - Kenyan Shilling</t>
  </si>
  <si>
    <t>Myanmar Standard Time</t>
  </si>
  <si>
    <t>KHR - Cambodian Riel</t>
  </si>
  <si>
    <t>S.E. Asia Standard Time</t>
  </si>
  <si>
    <t>KMF - Comorial Franc</t>
  </si>
  <si>
    <t>North Asia Standard Time</t>
  </si>
  <si>
    <t>KRW - Korea(South) Won</t>
  </si>
  <si>
    <t>China Standard Time</t>
  </si>
  <si>
    <t>KWD - Kuwait Dinar</t>
  </si>
  <si>
    <t>Singapore Standard Time</t>
  </si>
  <si>
    <t>KYD - Cayman Island Dollar</t>
  </si>
  <si>
    <t>Taipei Standard Time</t>
  </si>
  <si>
    <t>KZT - Kazakhstani Tenge</t>
  </si>
  <si>
    <t>W. Australia Standard Time</t>
  </si>
  <si>
    <t>LAK - Lao Kip</t>
  </si>
  <si>
    <t>North Asia East Standard Time</t>
  </si>
  <si>
    <t>LBP - Lebanese Pound</t>
  </si>
  <si>
    <t>Korea Standard Time</t>
  </si>
  <si>
    <t>LKR - Sri Lankan Rupee</t>
  </si>
  <si>
    <t>Tokyo Standard Time</t>
  </si>
  <si>
    <t>LRD - Liberian Dollar</t>
  </si>
  <si>
    <t>Yakutsk Standard Time</t>
  </si>
  <si>
    <t>LSL - Lesotho Loti</t>
  </si>
  <si>
    <t>A.U.S. Central Standard Time</t>
  </si>
  <si>
    <t>LTL - Lithuanian Litas</t>
  </si>
  <si>
    <t>Cen. Australia Standard Time</t>
  </si>
  <si>
    <t>LYD - Libyan Dinar</t>
  </si>
  <si>
    <t>A.U.S. Eastern Standard Time</t>
  </si>
  <si>
    <t>MAD - Moroccan Dirham</t>
  </si>
  <si>
    <t>E. Australia Standard Time</t>
  </si>
  <si>
    <t>MDL - Moldovan Leu</t>
  </si>
  <si>
    <t>Tasmania Standard Time</t>
  </si>
  <si>
    <t>MGA - Malagasy Ariary</t>
  </si>
  <si>
    <t>Vladivostok Standard Time</t>
  </si>
  <si>
    <t>MKD - Macedonian Denar</t>
  </si>
  <si>
    <t>West Pacific Standard Time</t>
  </si>
  <si>
    <t>MMK - Myanmar Kyat</t>
  </si>
  <si>
    <t>Central Pacific Standard Time</t>
  </si>
  <si>
    <t>MOP - Macanese Pataca</t>
  </si>
  <si>
    <t>Fiji Islands Standard Time</t>
  </si>
  <si>
    <t>MRO - Mauritanian Ouguiya</t>
  </si>
  <si>
    <t>New Zealand Standard Time</t>
  </si>
  <si>
    <t>MUR - Mauritian Rupee</t>
  </si>
  <si>
    <t>Tonga Standard Time</t>
  </si>
  <si>
    <t>MVR - Maldivian Rufiyaa</t>
  </si>
  <si>
    <t>MWK - Malawian Kwacha</t>
  </si>
  <si>
    <t>MXN - Mexican Peso</t>
  </si>
  <si>
    <t>MYR - Malaysia Ringgit</t>
  </si>
  <si>
    <t>MZN - Mozambican Metical</t>
  </si>
  <si>
    <t>NAD - Nambian Dollar</t>
  </si>
  <si>
    <t>NGN - Nigerian Naira</t>
  </si>
  <si>
    <t>NIO - Nicaraguan Cordoba</t>
  </si>
  <si>
    <t>NOK - Norway Krone</t>
  </si>
  <si>
    <t>NPR - Nepalese Rupee</t>
  </si>
  <si>
    <t>NZD - New Zealand Dollar</t>
  </si>
  <si>
    <t>OMR - Omani Rial</t>
  </si>
  <si>
    <t>PAB - Panamanian Balboa</t>
  </si>
  <si>
    <t>PEN - Peruvian Sol</t>
  </si>
  <si>
    <t>PGK - Papua New Guinean Kina</t>
  </si>
  <si>
    <t>PHP - Philippine Peso</t>
  </si>
  <si>
    <t>PKR - Pakistani Rupee</t>
  </si>
  <si>
    <t>PLN - Polish Zloty</t>
  </si>
  <si>
    <t>PYG - Paraguayan Guarani</t>
  </si>
  <si>
    <t>QAR - Qatari Riyal</t>
  </si>
  <si>
    <t>RON - Romanian Leu</t>
  </si>
  <si>
    <t>RSD - Serbian Dinar</t>
  </si>
  <si>
    <t>RUB - Russia Ruble</t>
  </si>
  <si>
    <t>RWF - Rwandan Franc</t>
  </si>
  <si>
    <t>SAR - Saudi Arabian Riyal</t>
  </si>
  <si>
    <t>SCR - Seychellios Rupee</t>
  </si>
  <si>
    <t>SDG - Sudanese Pound</t>
  </si>
  <si>
    <t>SEK - Sweden Krona</t>
  </si>
  <si>
    <t>SGD - Singapore Dollar</t>
  </si>
  <si>
    <t>SHP - Saint Helena Pound</t>
  </si>
  <si>
    <t>SLL - Sierra Leonean Leone</t>
  </si>
  <si>
    <t>SOS - Somali Shilling</t>
  </si>
  <si>
    <t>STD - Sao Tome and Principe Dobra</t>
  </si>
  <si>
    <t>SVC - Salvadoran Colon</t>
  </si>
  <si>
    <t>SZL - Swazi Lilangeni</t>
  </si>
  <si>
    <t>THB - Thai Baht</t>
  </si>
  <si>
    <t>TMT - Turkmen Manat</t>
  </si>
  <si>
    <t>TND - Tunisian Dinar</t>
  </si>
  <si>
    <t>TRY - Turkey Lira</t>
  </si>
  <si>
    <t>TTD - Trinidad and Tobago Dollar</t>
  </si>
  <si>
    <t>TWD - Taiwan New Dollar</t>
  </si>
  <si>
    <t>TZS - Tanzanian Shilling</t>
  </si>
  <si>
    <t>UAH - Ukrainian Hryvnia</t>
  </si>
  <si>
    <t>UGX - Ugandan Shilling</t>
  </si>
  <si>
    <t>USD - US Dollar</t>
  </si>
  <si>
    <t>UYU - Uruguayan Peso</t>
  </si>
  <si>
    <t>UZS - Uzbekistani Som</t>
  </si>
  <si>
    <t>VEF - Venezuelan Bolivar</t>
  </si>
  <si>
    <t>VND - Vietnamese Dong</t>
  </si>
  <si>
    <t>XAF - Central African Franc</t>
  </si>
  <si>
    <t>XCD - East Caribbean Dollar</t>
  </si>
  <si>
    <t>XOF - West African Franc</t>
  </si>
  <si>
    <t>XPF - CFP Franc</t>
  </si>
  <si>
    <t>YER - Yemeni Rial</t>
  </si>
  <si>
    <t>ZAR - South Africa Rand</t>
  </si>
  <si>
    <t>vRealize Suite Lifecycle Manager</t>
  </si>
  <si>
    <t>vRealize Suite Lifecycle components resolvable in DNS</t>
  </si>
  <si>
    <t>vRSLCM Virtual Appliance</t>
  </si>
  <si>
    <t># ******************* V R E A L I Z E   S U I T E   L I F E C Y C L E   M A N A G E R *******************</t>
  </si>
  <si>
    <t>admin@localhost</t>
  </si>
  <si>
    <t>VMw@re1!</t>
  </si>
  <si>
    <t>Mgmt - Datacenter Name</t>
  </si>
  <si>
    <t>Added SRM license key "srm-license@key="
Added Region A Datacenter Name "vcenter-mgmt-region-a.datacenterName="</t>
  </si>
  <si>
    <t>vRealize Operations Manager Remote Collector Nodes (smallrc)</t>
  </si>
  <si>
    <t>Adjusted vROps Remote Collector properties to be singular:
   - "vrops-remote-collector-deployment@deploymentModel="</t>
  </si>
  <si>
    <t>Region A Cluster Node #1 IP Address</t>
  </si>
  <si>
    <t>Region A Cluster Node #2 IP Address</t>
  </si>
  <si>
    <t>192.168.31.11</t>
  </si>
  <si>
    <t>192.168.31.12</t>
  </si>
  <si>
    <t>192.168.31.13</t>
  </si>
  <si>
    <t>Region A Cluster Nodes root Password</t>
  </si>
  <si>
    <t>Added Region A Log Insight Node IP Addresses and Root Password
    - logInsight-regiona-master.address=192.168.31.11
    - logInsight-regiona-worker1.address=192.168.31.12
    - logInsight-regiona-worker2.address=192.168.31.13
    - logInsight-regiona-root.password=VMware1!
   - logInsight-regiona-admin.password=VMware1!</t>
  </si>
  <si>
    <t>Region A Cluster Admin Password</t>
  </si>
  <si>
    <t>vRA Password - administrator@vsphere.local</t>
  </si>
  <si>
    <t>vra01svr01</t>
  </si>
  <si>
    <t>Added the following:
   - "vrops-lb-hostname="
   - "vrb-currency@value="
   - "vra-cluster-region-a.lb-hostname="</t>
  </si>
  <si>
    <t>svc-vrslcm-vsphere</t>
  </si>
  <si>
    <t># Service Account for vRSLCM to vSphere Integration</t>
  </si>
  <si>
    <t># vRA System Password (administrator@vsphere.local)</t>
  </si>
  <si>
    <t>Added svc-vrslcm-vsphere user 
   - svc-vrslcm-ad-user.username=svc-
   - svc-vrslcm-ad-user.password=
Added vRA System Password
   - vra-system-admin.password=</t>
  </si>
  <si>
    <t>NSX Controller and ESGs Default Passwords</t>
  </si>
  <si>
    <t>Removed the following elements:
    - "default-network-name=" VM Network is hard coded
    - "migrate-all-mgmt-vms-to-vds@customVmNamesToMigrate="
    - "migrate-all-mgmt-vms-to-vds@customDvPortgroupNameToMigrateOn="</t>
  </si>
  <si>
    <t>Added excludedComponent for Skipping vRA Teanant Config:
    - excludedComponent.VRATenantContent=false
Reworked the vRA Configuration Tab to show clearer Infrastructure v Tenant Config</t>
  </si>
  <si>
    <t># RegionA Values for static routes</t>
  </si>
  <si>
    <t>192.168.31.1</t>
  </si>
  <si>
    <t>Added Region App Network Details:
    - region-a-app-mgmt-logical-switch.cidr=
    - region-a-app-mgmt-logical-switch.gateway=</t>
  </si>
  <si>
    <t>Child - Base DN Group</t>
  </si>
  <si>
    <t>Child - Base DN Users</t>
  </si>
  <si>
    <t>Child -  Server URL</t>
  </si>
  <si>
    <t>dc=lax01,dc=rainpole,dc=local</t>
  </si>
  <si>
    <t>Active Directory Server - Primary</t>
  </si>
  <si>
    <t>Active Directory Server - Secondary</t>
  </si>
  <si>
    <t>dc51rpl</t>
  </si>
  <si>
    <t>Added Missing SubDomain Itesm:
   - ldapADIdentitySource.subDomainBaseDnUsers=
   - ldapADIdentitySource.subDomainBaseDnGroups=
   - ldapADIdentitySource.secondaryServerURL=</t>
  </si>
  <si>
    <t>vrb01svr01</t>
  </si>
  <si>
    <t>Changed vRB Server FQDN value to vRB Server hostname as per PR 2170133</t>
  </si>
  <si>
    <t># vRB Server in Region A</t>
  </si>
  <si>
    <t>192.168.11.20</t>
  </si>
  <si>
    <t>vDS MTU - Management</t>
  </si>
  <si>
    <t>vDS MTU - Shared Edge &amp; Compute</t>
  </si>
  <si>
    <t>Adjusted Properties for MTU Size on the VDS:
    - vds-mgmt-mtu@mtu=
    - vds-edge-mtu@mtu=</t>
  </si>
  <si>
    <t>Password</t>
  </si>
  <si>
    <t>Tenant Local User - vsphere.local</t>
  </si>
  <si>
    <t># vRA Tenant Login Details - Default Tenant</t>
  </si>
  <si>
    <t># vRA Tenant Login Details - First Tenant (Rainpole)</t>
  </si>
  <si>
    <t>Added the following vRA Inputs:
    - itac-defaulttenant-credentials@username=LocalDefaultAdmin
    - itac-defaulttenant-credentials@password=VMware1!
    - itac-tenant-credentials@username=LocalRainpoleAdmin
    - itac-tenant-credentials@password=VMware1!</t>
  </si>
  <si>
    <t>vra01iws01</t>
  </si>
  <si>
    <t>vra01ims01</t>
  </si>
  <si>
    <t>dc51rpl.rainpole.local</t>
  </si>
  <si>
    <t>Enable Customer Experience Improvement Program (CEIP)</t>
  </si>
  <si>
    <t>Added new propery for CEIP Enablement:
    - CeipEnabled=</t>
  </si>
  <si>
    <t>Site Recovery Manager Placeholder Datastore</t>
  </si>
  <si>
    <t># Datastore Placeholders</t>
  </si>
  <si>
    <t>Region A - Placeholder Datastore</t>
  </si>
  <si>
    <t>sfo01-m01-vsan</t>
  </si>
  <si>
    <t>Added a new property for the SRM Place Holder Datastore:
    - srm-regiona-placeholder-datastore=
    - srm-regionb-placeholder-datastore=</t>
  </si>
  <si>
    <t>Region A - vSphere Replication Appliance IP Address</t>
  </si>
  <si>
    <t>Region A - Storage Replication IP Address</t>
  </si>
  <si>
    <t>Region A - Management Network CIDR Notation</t>
  </si>
  <si>
    <t>Region A - Replication Network CIDR Notation</t>
  </si>
  <si>
    <t>Region A - Replication Network Gateway</t>
  </si>
  <si>
    <t>Added new property for Region A vSphere Replication IP Address
    - remoteMgmtReplication.ipaddress=</t>
  </si>
  <si>
    <t>support-team@rainpole.local</t>
  </si>
  <si>
    <t>cn=Users,dc=rainpole,dc=local</t>
  </si>
  <si>
    <t>cn=Users,dc=lax01,dc=rainpole,dc=local</t>
  </si>
  <si>
    <t>Added Conditional Formatting Validation to:
    - vRA Proxy Agent Systems based on domain setting - turns red if n/a appears in the FQDN</t>
  </si>
  <si>
    <t>ESXi</t>
  </si>
  <si>
    <t>NSX fpr vSphere</t>
  </si>
  <si>
    <t>Deployment Configuration Options</t>
  </si>
  <si>
    <t>vCenter Server Appliance - Managemnet Domain (Small)</t>
  </si>
  <si>
    <t>vCenter Server Appliance - Workload Domain (Large)</t>
  </si>
  <si>
    <r>
      <t xml:space="preserve">Instructions: </t>
    </r>
    <r>
      <rPr>
        <sz val="10"/>
        <color rgb="FFFF0000"/>
        <rFont val="Metropolis"/>
      </rPr>
      <t>Use this tab to make some adjustments to handle environmental changes to the way the Cloud Builder implements the VMware Validated Design, these include:
 - Exclude products from the deployment to handle specific use cases
 - Skip certain procedures to handle environmental constraints
 - Adjust the size of appliances deployed from the values defined within the VVD to allow deployment on resource constraint platforms.</t>
    </r>
  </si>
  <si>
    <t>Step 1 - Product Selection - Select which products you would like to deploy</t>
  </si>
  <si>
    <t>Perform Configuration of vRealize Automation Tenant (Rainpole)</t>
  </si>
  <si>
    <t>No</t>
  </si>
  <si>
    <t>Skip Adding ESXi Hosts to Active Directory - Management Domain</t>
  </si>
  <si>
    <t>Skip Adding ESXi Hosts to Active Directory - Workload Domain</t>
  </si>
  <si>
    <t>Made some adjustments to layout / wording and syntax:
Run Paramters:
    - Switch on true/false values to Yes/No to make it more customer friendly</t>
  </si>
  <si>
    <t>Management Domain</t>
  </si>
  <si>
    <t>Management Domain - Load Balancer (Large)</t>
  </si>
  <si>
    <t>Management Domain - Edge Services Gateway (ECMP) #02 (Large)</t>
  </si>
  <si>
    <t>Management Domain - Edge Services Gateway (ECMP) #01 (Large)</t>
  </si>
  <si>
    <t>Workload Domain</t>
  </si>
  <si>
    <t>Workload Domain - Edge Services Gateway (ECMP) #01 (Large)</t>
  </si>
  <si>
    <t>Workload Domain - Edge Services Gateway (ECMP) #02 (Large)</t>
  </si>
  <si>
    <t>Workload Domain - Distributed Logical Router (Large)</t>
  </si>
  <si>
    <t># NSX CLI privilege mode password</t>
  </si>
  <si>
    <t>Addressed PR 2213320 - Updated NSX Manager Privileged User Account to NSX Manager CLI Privileged User Account</t>
  </si>
  <si>
    <t>Management Domain Networks</t>
  </si>
  <si>
    <t>Management Domain ESXi Hosts</t>
  </si>
  <si>
    <t>Shared Edge and Compute Workload Domain Networks</t>
  </si>
  <si>
    <t>Shared Edge and Compute Workload Domain ESXi Hosts</t>
  </si>
  <si>
    <t>vSphere Standard Switch - Management</t>
  </si>
  <si>
    <t>Physical NIC Allocated to vSS - Management</t>
  </si>
  <si>
    <t>vSphere Standard Switch - Shared Edge &amp; Compute</t>
  </si>
  <si>
    <t>Physical NIC Allocated to vSS - Shared Edge &amp; Compute</t>
  </si>
  <si>
    <t>Cleaned up various items:
Deployment Paramters Tab
    - Removed vmk1 and vmk0 settings
    - vSS to vDS True/False option
    - Added duplicate IP conditional format for all Application Networks</t>
  </si>
  <si>
    <t>Load Balancer - Virtual Appliance Web</t>
  </si>
  <si>
    <t>Load Balancer - IaaS Web Servers</t>
  </si>
  <si>
    <t>Load Balancer - IaaS Manager Servers</t>
  </si>
  <si>
    <t>Virtual Appliance #1</t>
  </si>
  <si>
    <t>Virtual Appliance #2</t>
  </si>
  <si>
    <t>Virtual Appliance #3</t>
  </si>
  <si>
    <t>IaaS - Web Server #1</t>
  </si>
  <si>
    <t>IaaS - Web Server #2</t>
  </si>
  <si>
    <t>Iaas - Manager Server #1</t>
  </si>
  <si>
    <t>IaaS - Manager Server #2</t>
  </si>
  <si>
    <t>Iaas - Worker DEM / Agent Server #1</t>
  </si>
  <si>
    <t>Iaas - Worker DEM / Agent Server #2</t>
  </si>
  <si>
    <t>IaaS - Agent Server #1</t>
  </si>
  <si>
    <t>IaaS - Agent Server #2</t>
  </si>
  <si>
    <t>Virtual Appliance Primary Node</t>
  </si>
  <si>
    <t xml:space="preserve"> Load Balancer Virtual Applioance Hostname</t>
  </si>
  <si>
    <t>Virtual Appliance Primary Node Password</t>
  </si>
  <si>
    <t>vRealize Orchestrator Cluster Address</t>
  </si>
  <si>
    <t>Currency</t>
  </si>
  <si>
    <t>Virtual Appliance - Server IP</t>
  </si>
  <si>
    <t>Virtual Appliance - Server Hostname</t>
  </si>
  <si>
    <t>Virtual Appliance - Data Collector</t>
  </si>
  <si>
    <t>vRealize Operations Manager Servers</t>
  </si>
  <si>
    <t>Load Balancer</t>
  </si>
  <si>
    <t>Virtual Appliance #1 - Master</t>
  </si>
  <si>
    <t>Virtual Appliance #2 - Master Replica</t>
  </si>
  <si>
    <t>Virtual Appliance #3 - Data Node</t>
  </si>
  <si>
    <t>vRealize Operations Manager Remote Collectors</t>
  </si>
  <si>
    <t>svc-umds</t>
  </si>
  <si>
    <t>Update Manager Download Service</t>
  </si>
  <si>
    <t>Server</t>
  </si>
  <si>
    <t>Update Manager Download Service - Unbunu VM</t>
  </si>
  <si>
    <t>Hostname and IP Address Defined</t>
  </si>
  <si>
    <t># vSphere Update Manager Download Service</t>
  </si>
  <si>
    <t># Unbuntu System Used for Installing UMDS</t>
  </si>
  <si>
    <t># UMDS Service Account</t>
  </si>
  <si>
    <t>vSphere Update Manager Download Service</t>
  </si>
  <si>
    <t>Skip Creating Host Profiles - Management and Workload Domains</t>
  </si>
  <si>
    <t># Skip Creation of Host Profiles (Both Management and Shared Edge &amp; Compute Domains)</t>
  </si>
  <si>
    <t>Universal</t>
  </si>
  <si>
    <t>Scope</t>
  </si>
  <si>
    <t>Group with accounts that are assigned vCenter Server administrator privileges</t>
  </si>
  <si>
    <t>Administrative group for the SDDC</t>
  </si>
  <si>
    <t>Groups with vRealize Orchestrator Administrator privileges</t>
  </si>
  <si>
    <t>Tenant administrators group</t>
  </si>
  <si>
    <t>Active Directory Group Name</t>
  </si>
  <si>
    <r>
      <rPr>
        <b/>
        <sz val="10"/>
        <color theme="1"/>
        <rFont val="Metropolis"/>
      </rPr>
      <t>Virtual SAN Configuration</t>
    </r>
    <r>
      <rPr>
        <sz val="10"/>
        <color theme="1"/>
        <rFont val="Metropolis"/>
      </rPr>
      <t xml:space="preserve"> - All disks available for use.</t>
    </r>
  </si>
  <si>
    <r>
      <rPr>
        <b/>
        <sz val="10"/>
        <color theme="1"/>
        <rFont val="Metropolis"/>
      </rPr>
      <t>Physical Hardware</t>
    </r>
    <r>
      <rPr>
        <sz val="10"/>
        <color theme="1"/>
        <rFont val="Metropolis"/>
      </rPr>
      <t xml:space="preserve"> - racked and cabled and must be installed with ESXi (up to 8 hosts). (Minimum of 4 hosts per cluster type if using vSAN as a datastore.</t>
    </r>
  </si>
  <si>
    <t>NTP and DNS settings must be the same as the deployment tool.</t>
  </si>
  <si>
    <t>Ensure to configure the DNS for Platform Services Controller Load Balancer as per the deployment guide.</t>
  </si>
  <si>
    <r>
      <rPr>
        <b/>
        <sz val="10"/>
        <color theme="1"/>
        <rFont val="Metropolis"/>
      </rPr>
      <t>Operations Management Layer</t>
    </r>
    <r>
      <rPr>
        <sz val="10"/>
        <color theme="1"/>
        <rFont val="Metropolis"/>
      </rPr>
      <t xml:space="preserve"> - All proposed hostnames are resolvable for forward, reverse, short name and long name resolution.
  - vRealize Suite Lifecycle Manager
  - vRealize Operations Manager
  - vRealize Log Insight
  - vSphere Update Manager Download Service</t>
    </r>
  </si>
  <si>
    <r>
      <rPr>
        <b/>
        <sz val="10"/>
        <color theme="1"/>
        <rFont val="Metropolis"/>
      </rPr>
      <t>Domain Join Service Account</t>
    </r>
    <r>
      <rPr>
        <sz val="10"/>
        <color theme="1"/>
        <rFont val="Metropolis"/>
      </rPr>
      <t xml:space="preserve"> - Ensure that you have an Active Directory Service Account with correct access to join system to the domain (Used by the deployment tool during the deployment process).
     1. Delegate ‘join domain access’
     2. Add the user to the Account Operators group
     3. Set specific access rights as per https://support.microsoft.com/en-gb/kb/932455</t>
    </r>
  </si>
  <si>
    <t>Configure the same user in both the parent and child domains</t>
  </si>
  <si>
    <t>Generate Signed Certificates using the CertGenVVD PowerShell Script
  - Platform Services Controller
  - vCenter Server
  - NSX Manager
  - vRealize Suite Lifecycle Manager
  - vRealize Operations Manager
  - vRealize Log Insight
  - vRealize Automation
  - vRealize Business for Cloud
  - Site Recovery Manager
  - vSphere Replication</t>
  </si>
  <si>
    <t>Download the CertGen / CertConfig tools, generate the signed certs and transfer to the deployment tool as per the deployment guide.</t>
  </si>
  <si>
    <r>
      <rPr>
        <b/>
        <sz val="10"/>
        <color theme="1"/>
        <rFont val="Metropolis"/>
      </rPr>
      <t>Master Windows System</t>
    </r>
    <r>
      <rPr>
        <sz val="10"/>
        <color theme="1"/>
        <rFont val="Metropolis"/>
      </rPr>
      <t xml:space="preserve"> - Create a single virtual machine on the first ESXi host of the management cluster with Windows 2016 R2 to support the IaaS servers.</t>
    </r>
  </si>
  <si>
    <t>Set up a Master Windows System for vRealize Automation IaaS Nodes as per the deployment guide</t>
  </si>
  <si>
    <r>
      <rPr>
        <b/>
        <sz val="10"/>
        <color theme="1"/>
        <rFont val="Metropolis"/>
      </rPr>
      <t>Site Recovery Manager Server</t>
    </r>
    <r>
      <rPr>
        <sz val="10"/>
        <color theme="1"/>
        <rFont val="Metropolis"/>
      </rPr>
      <t xml:space="preserve"> - Create a single virtual machine on the first ESXi host of the management cluster with Windows 2016 R2 to support the SRM Server install.
  - Create a Local Administrator account</t>
    </r>
  </si>
  <si>
    <r>
      <t xml:space="preserve">Instructions: </t>
    </r>
    <r>
      <rPr>
        <sz val="10"/>
        <color rgb="FFFF0000"/>
        <rFont val="Metropolis"/>
      </rPr>
      <t xml:space="preserve">Use this tab to capture the service accounts, groups and passwords that must exist in Active Directory in order to implement the SDDC platform. Information against each yellow box must be provided during the planning phase in order for the platform to be built.  </t>
    </r>
    <r>
      <rPr>
        <sz val="10"/>
        <rFont val="Metropolis"/>
      </rPr>
      <t>(Existing values are just examples)</t>
    </r>
    <r>
      <rPr>
        <sz val="10"/>
        <color rgb="FFFF0000"/>
        <rFont val="Metropolis"/>
      </rPr>
      <t>. If a cell turns red then the property information is either missing or validation has failed.</t>
    </r>
  </si>
  <si>
    <t>VSAN 6.7 U1</t>
  </si>
  <si>
    <t>6.7 U1</t>
  </si>
  <si>
    <t>6.4.4</t>
  </si>
  <si>
    <t>8.1.1</t>
  </si>
  <si>
    <t>Windows Server 2016</t>
  </si>
  <si>
    <t>Update Manager Download Services</t>
  </si>
  <si>
    <t>Ubuntu Virtual Machine</t>
  </si>
  <si>
    <r>
      <rPr>
        <b/>
        <sz val="10"/>
        <color theme="1"/>
        <rFont val="Metropolis"/>
      </rPr>
      <t>ESXi Configuration</t>
    </r>
    <r>
      <rPr>
        <sz val="10"/>
        <color theme="1"/>
        <rFont val="Metropolis"/>
      </rPr>
      <t xml:space="preserve"> - All ESXi hosts must be configured with the following settings:
  - Static IP Address assigned to the Management interface (vmk0)
  - Management Network portgroup configured with correct VLAN ID
  - VM Network portgroup configured with the same VLAN ID as the Management Network
  - TSM-SSH Service enabled and policy set to 'Start and Stop with Host'
  - NTP Service enabled, configured and policy set to 'Start and Stop with Host'</t>
    </r>
  </si>
  <si>
    <t xml:space="preserve">Cloud Management Layer Prerequisites </t>
  </si>
  <si>
    <t xml:space="preserve">Business Continuity Layer Prerequisites </t>
  </si>
  <si>
    <t>Set up a Windows System for Site Recovery Manager as per the deployment guide</t>
  </si>
  <si>
    <t>vCenter Server (Management Domain)</t>
  </si>
  <si>
    <t>Platform Service Controller (Management Domain)</t>
  </si>
  <si>
    <t>NSX Manager(Management Domain)</t>
  </si>
  <si>
    <t>vCenter Server (Workload Domain)</t>
  </si>
  <si>
    <t>Platform Service Controller (Workload Domain)</t>
  </si>
  <si>
    <t>NSX Manager (Workload Domain)</t>
  </si>
  <si>
    <t>vRealize Business for Cloud Collector</t>
  </si>
  <si>
    <t>RAM Calculations (Without ESXi efficiencies)</t>
  </si>
  <si>
    <t>Shared Edge and Compute Workload Domain</t>
  </si>
  <si>
    <t>Service account for performing domain-join operations from certain SDDC management components (Platform Services Controllers, ESXi, vRealize Automation IaaS Hosts)</t>
  </si>
  <si>
    <t>vCenter Server Virtual Appliances - Root Account</t>
  </si>
  <si>
    <t>Default Single-Sign On Domain - Administrator Account</t>
  </si>
  <si>
    <t>ESXi Hosts - Root Account (Same across all hosts)</t>
  </si>
  <si>
    <t>NSX Manager - Administrator Account</t>
  </si>
  <si>
    <t>NSX Manager - CLI Privileged User Account</t>
  </si>
  <si>
    <t>vRealize Suite Lifecycle Manager - Root Account</t>
  </si>
  <si>
    <t>vRealize Suite Lifecycle Manager - Admin Account</t>
  </si>
  <si>
    <t>Service account for deploying and managing the lifecycle of vRealize Suite components on the Software-Defined Data Center management domain - Assigned the vRealize Suite Lifecycle Manager User Role</t>
  </si>
  <si>
    <t>vRealize Operations Manager - Admin Account</t>
  </si>
  <si>
    <t>vRealize Operations Manager to vCenter - vCenter Adapter (Assigned the vCenter Read-only Role)</t>
  </si>
  <si>
    <t>vRealize Operations Manager to NSX - NSX for vSphere Adapter (Assigned the vCenter Read-only Role)</t>
  </si>
  <si>
    <t>vRealize Operations Manager to vCenter - Storage Devices Adapter (Assigned the vCenter Custom MPSD Metrics User Role)</t>
  </si>
  <si>
    <t>vRealize Operations Manager to vCenter - VSAN Adapter (Assigned the vCenter Custom MPSD Metrics User Role)</t>
  </si>
  <si>
    <r>
      <t xml:space="preserve">vRealize Operations Manager to vRealize Automation - vRA Adapter (Assigned vRealize Automation Roles -  </t>
    </r>
    <r>
      <rPr>
        <i/>
        <sz val="10"/>
        <rFont val="Metropolis"/>
      </rPr>
      <t>Tenant Admin, IaaS Admin, Infrastructure Architect, Software Architect and Fabric Aadmin</t>
    </r>
    <r>
      <rPr>
        <sz val="10"/>
        <rFont val="Metropolis"/>
      </rPr>
      <t>)</t>
    </r>
  </si>
  <si>
    <t>vRealize Operations Manager to vCenter - SRM Adapter (Assigned the vCenter SRM Read-only Role)</t>
  </si>
  <si>
    <t>vRealize Log Insight - Root Account</t>
  </si>
  <si>
    <t>vRealize Log Insight - Admin Account</t>
  </si>
  <si>
    <t>vRealize Log Insight to vSphere Integration (Assigned Custom 'Log Insight User' Role)</t>
  </si>
  <si>
    <t>Local Account on the Ubuntu VM used for installing vSphere Update Manager Download Service</t>
  </si>
  <si>
    <t># "vrb-server-deployment-vmname="&amp;'Deploy Parameters'!F106</t>
  </si>
  <si>
    <t>Address PR 2232975, add UMDS IP Address and Credentials to XLS
Added ability to Skip Host Profiles
Reviewed Prerequisite Checklist, Management Workloads and Users and Groups Tab for John Dory release and protected the cells by default
Moved root credentials from Deployment Parameters Tab to Users and Groups Tab
Remove uneeded vRA content</t>
  </si>
  <si>
    <t>Active Directory Domain Controller FQDN</t>
  </si>
  <si>
    <t>Added protection to tabs: Hosts and Networks, vRA Configuration, Run Parameters, CertConfig</t>
  </si>
  <si>
    <t>vRealize Automation Servers</t>
  </si>
  <si>
    <t>vRealize Log Insight Servers</t>
  </si>
  <si>
    <r>
      <rPr>
        <b/>
        <sz val="10"/>
        <color rgb="FFFF0000"/>
        <rFont val="Metropolis"/>
      </rPr>
      <t>NOTE:</t>
    </r>
    <r>
      <rPr>
        <sz val="10"/>
        <color rgb="FFFF0000"/>
        <rFont val="Metropolis"/>
      </rPr>
      <t xml:space="preserve"> The Cloud Builder assume certificates are generated using the CertConfig and CertGen utility and each file is located within a hostname specific folder</t>
    </r>
  </si>
  <si>
    <t>Universal Distributed Logical Router - MTU Size</t>
  </si>
  <si>
    <t>Addressed PR 2244382  - vRA Tenant Configuration help text in Excel not depicting right message about which setting sets the value to skip or to configure vRA tenant
Addressed PR 2244428 - Modify the parameter name from SRM to vRA in Region B excel file
Addressed PR  2243454 - Remove the external management portgroup details from the Region B excel file
Added protection to Deploy Parameters</t>
  </si>
  <si>
    <t># BGP password used for configuring BGP between UDLR and ESG switches - Compute Cluster</t>
  </si>
  <si>
    <t>Addressed PR 2248933 - added missing value: edge-esg-udlr-bgp-neighbour-password@value=
Addressed PR 2249055 - STMP Settings, auto calculate across the XLS from initial inputs
Addressed PR 2249033 - Flagged Cells that should be also no when setting vRSLCM to no
Addressed PR 2249315 - Auto calculate VSAN datastore name</t>
  </si>
  <si>
    <t>Deploy the Management Domain without a VSAN Datastore</t>
  </si>
  <si>
    <t>Deploy the Workload Domain without a VSAN Datastore</t>
  </si>
  <si>
    <r>
      <t xml:space="preserve">Step 3 - Set Virtual Appliance Initial Deployment Size </t>
    </r>
    <r>
      <rPr>
        <b/>
        <sz val="11"/>
        <color theme="0"/>
        <rFont val="Metropolis"/>
      </rPr>
      <t>(Default in Brackets)</t>
    </r>
  </si>
  <si>
    <t>Added additonal validation for the Infrastructure section of Deployment Parameters
Addressed PR 2250271 - Updated the Skiping VSAN Run Parameters to 'Deploy the Management Domain without a VSAN Datastore' and added a data validation input message
Addressed PR 2250250 - Set SMTP Authentications to be red if blank, not red if n/a and red if User Authentication is true and added a data calidation input message</t>
  </si>
  <si>
    <t>Removed Timezone value for IaaS machines as values are not used
Removed vRA Content Library datastore name - vra-storage-configuration.name="
Added validation for blank cells and n/a to Hosts and Networks tab</t>
  </si>
  <si>
    <t>Removed vRA Endpoint and Endpoint Credential inputs as not required</t>
  </si>
  <si>
    <t>Addressed PR 2262117 - Added Management Folder to Deployment Parameters for Region A</t>
  </si>
  <si>
    <t>Region A - Management Folder</t>
  </si>
  <si>
    <t>Addressed PR 2262717 - Added instruction box to Management Workloads Tab</t>
  </si>
  <si>
    <r>
      <t xml:space="preserve">Instructions: </t>
    </r>
    <r>
      <rPr>
        <sz val="10"/>
        <color rgb="FFFF0000"/>
        <rFont val="Metropolis"/>
      </rPr>
      <t>Use this tab to capture VMware product license keys that should be used during the implement of the SDDC platform. Use the yellow boxes to enter the individual product license keys. If a cell turns red then the property information is either missing or validation has failed.</t>
    </r>
    <r>
      <rPr>
        <b/>
        <sz val="10"/>
        <rFont val="Metropolis"/>
      </rPr>
      <t xml:space="preserve"> </t>
    </r>
    <r>
      <rPr>
        <sz val="10"/>
        <rFont val="Metropolis"/>
      </rPr>
      <t>The remaining information provides a breakdown by layer of each virtual machine deployed and is for informational purposes.</t>
    </r>
  </si>
  <si>
    <t>172.17.11.0/24</t>
  </si>
  <si>
    <t>172.17.11.253</t>
  </si>
  <si>
    <t>172.17.12.0/24</t>
  </si>
  <si>
    <t>172.17.13.0/24</t>
  </si>
  <si>
    <t>172.17.12.253</t>
  </si>
  <si>
    <t>172.17.13.253</t>
  </si>
  <si>
    <t>172.17.15.253</t>
  </si>
  <si>
    <t>172.17.14.0/24</t>
  </si>
  <si>
    <t>172.17.14.253</t>
  </si>
  <si>
    <t>172.17.16.0/24</t>
  </si>
  <si>
    <t>172.17.16.253</t>
  </si>
  <si>
    <t>172.17.15.0/22</t>
  </si>
  <si>
    <t>172.27.14.0/24</t>
  </si>
  <si>
    <t>172.27.15.0/24</t>
  </si>
  <si>
    <t>172.27.14.253</t>
  </si>
  <si>
    <t>172.27.15.253</t>
  </si>
  <si>
    <t>172.17.31.0/24</t>
  </si>
  <si>
    <t>172.17.31.253</t>
  </si>
  <si>
    <t>172.17.32.0/24</t>
  </si>
  <si>
    <t>172.17.33.0/24</t>
  </si>
  <si>
    <t>172.17.32.253</t>
  </si>
  <si>
    <t>172.17.33.253</t>
  </si>
  <si>
    <t>172.17.34.0/24</t>
  </si>
  <si>
    <t>172.17.35.0/24</t>
  </si>
  <si>
    <t>172.17.34.253</t>
  </si>
  <si>
    <t>172.17.35.253</t>
  </si>
  <si>
    <t>172.27.21.253</t>
  </si>
  <si>
    <t>172.27.21.0/24</t>
  </si>
  <si>
    <t>172.17.25.0/24</t>
  </si>
  <si>
    <t>172.17.25.253</t>
  </si>
  <si>
    <t>172.17.11.101</t>
  </si>
  <si>
    <t>172.17.12.101</t>
  </si>
  <si>
    <t>172.17.13.101</t>
  </si>
  <si>
    <t>172.17.16.101</t>
  </si>
  <si>
    <t>172.17.11.102</t>
  </si>
  <si>
    <t>172.17.12.102</t>
  </si>
  <si>
    <t>172.17.13.102</t>
  </si>
  <si>
    <t>172.17.11.103</t>
  </si>
  <si>
    <t>172.17.16.102</t>
  </si>
  <si>
    <t>172.17.12.103</t>
  </si>
  <si>
    <t>172.17.13.103</t>
  </si>
  <si>
    <t>172.17.16.103</t>
  </si>
  <si>
    <t>172.17.11.104</t>
  </si>
  <si>
    <t>172.17.12.104</t>
  </si>
  <si>
    <t>172.17.13.104</t>
  </si>
  <si>
    <t>172.17.16.104</t>
  </si>
  <si>
    <t>172.17.31.101</t>
  </si>
  <si>
    <t>172.17.32.101</t>
  </si>
  <si>
    <t>172.17.33.101</t>
  </si>
  <si>
    <t>172.17.31.102</t>
  </si>
  <si>
    <t>172.17.32.102</t>
  </si>
  <si>
    <t>172.17.33.102</t>
  </si>
  <si>
    <t>172.17.31.103</t>
  </si>
  <si>
    <t>172.17.32.103</t>
  </si>
  <si>
    <t>172.17.33.103</t>
  </si>
  <si>
    <t>172.17.31.104</t>
  </si>
  <si>
    <t>172.17.32.104</t>
  </si>
  <si>
    <t>172.17.33.104</t>
  </si>
  <si>
    <t>svc-domain-join</t>
  </si>
  <si>
    <t>svc-nsxmanager</t>
  </si>
  <si>
    <t>vra-admin-rainpole</t>
  </si>
  <si>
    <t>172.17.11.4</t>
  </si>
  <si>
    <t>172.17.11.5</t>
  </si>
  <si>
    <t>172.17.11.61</t>
  </si>
  <si>
    <t>172.17.11.62</t>
  </si>
  <si>
    <t>172.17.11.63</t>
  </si>
  <si>
    <t>172.17.11.64</t>
  </si>
  <si>
    <t>172.17.11.71</t>
  </si>
  <si>
    <t>172.16.11.61</t>
  </si>
  <si>
    <t>172.16.11.62</t>
  </si>
  <si>
    <t>172.16.11.65</t>
  </si>
  <si>
    <t>172.16.11.63</t>
  </si>
  <si>
    <t>172.16.11.64</t>
  </si>
  <si>
    <t>172.16.11.66</t>
  </si>
  <si>
    <t>172.17.11.65</t>
  </si>
  <si>
    <t>172.17.11.66</t>
  </si>
  <si>
    <t>172.27.14.2</t>
  </si>
  <si>
    <t>172.27.15.3</t>
  </si>
  <si>
    <t>172.27.14.3</t>
  </si>
  <si>
    <t>172.27.15.2</t>
  </si>
  <si>
    <t>172.27.15.1</t>
  </si>
  <si>
    <t>172.27.14.1</t>
  </si>
  <si>
    <t>172.17.35.2</t>
  </si>
  <si>
    <t>172.17.35.3</t>
  </si>
  <si>
    <t>172.27.21.3</t>
  </si>
  <si>
    <t>172.27.21.2</t>
  </si>
  <si>
    <t>172.17.35.1</t>
  </si>
  <si>
    <t>172.27.21.1</t>
  </si>
  <si>
    <t>lax01m01udlr01</t>
  </si>
  <si>
    <t>lax01w01udlr01</t>
  </si>
  <si>
    <t>192.168.10.50</t>
  </si>
  <si>
    <t>192.168.100.50</t>
  </si>
  <si>
    <t>192.168.32.31</t>
  </si>
  <si>
    <t>192.168.32.32</t>
  </si>
  <si>
    <t>172.17.11.67</t>
  </si>
  <si>
    <t>192.168.32.52</t>
  </si>
  <si>
    <t>192.168.32.53</t>
  </si>
  <si>
    <t>192.168.32.54</t>
  </si>
  <si>
    <t>172.17.11.124</t>
  </si>
  <si>
    <t>172.17.11.123</t>
  </si>
  <si>
    <t>172.16.11.101</t>
  </si>
  <si>
    <t>172.16.11.102</t>
  </si>
  <si>
    <t>172.16.11.103</t>
  </si>
  <si>
    <t>172.16.11.104</t>
  </si>
  <si>
    <t>172.16.11.0/24</t>
  </si>
  <si>
    <t>172.16.11.124</t>
  </si>
  <si>
    <t>172.16.11.123</t>
  </si>
  <si>
    <t>172.16.16.100</t>
  </si>
  <si>
    <t>172.16.16.0/24</t>
  </si>
  <si>
    <t>172.16.16.253</t>
  </si>
  <si>
    <t>172.17.16.100</t>
  </si>
  <si>
    <t>172.17.14.101</t>
  </si>
  <si>
    <t>172.17.14.116</t>
  </si>
  <si>
    <t>172.17.34.101</t>
  </si>
  <si>
    <t>172.17.34.116</t>
  </si>
  <si>
    <t>vrslcm01svr01a</t>
  </si>
  <si>
    <t>nfs-server-address</t>
  </si>
  <si>
    <t>/VVD_vRLI_MgmtB_400GB</t>
  </si>
  <si>
    <t>vra-LocalDefaultAdmin</t>
  </si>
  <si>
    <t>vra-LocalRainpoleAdmin</t>
  </si>
  <si>
    <t>172.17.15.101</t>
  </si>
  <si>
    <t>172.17.15.102</t>
  </si>
  <si>
    <t>172.17.15.103</t>
  </si>
  <si>
    <t>172.17.15.104</t>
  </si>
  <si>
    <t>172.17.25.101</t>
  </si>
  <si>
    <t>172.17.25.102</t>
  </si>
  <si>
    <t>172.17.25.103</t>
  </si>
  <si>
    <t>172.17.25.104</t>
  </si>
  <si>
    <t>master-iaas-vm</t>
  </si>
  <si>
    <t>0.ntp.lax01.rainpole.local</t>
  </si>
  <si>
    <t>1.ntp.lax01.rainpole.local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</si>
</sst>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numFmt numFmtId="165" formatCode="0.0"/>
  </numFmts>
  <fonts count="58">
    <font>
      <sz val="11"/>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sz val="11"/>
      <color theme="1"/>
      <name val="Calibri"/>
      <family val="2"/>
      <scheme val="minor"/>
    </font>
    <font>
      <b/>
      <sz val="11"/>
      <color rgb="FFFF0000"/>
      <name val="Calibri"/>
      <family val="2"/>
      <scheme val="minor"/>
    </font>
    <font>
      <sz val="11"/>
      <color rgb="FF000000"/>
      <name val="Calibri"/>
      <family val="2"/>
      <scheme val="minor"/>
    </font>
    <font>
      <u/>
      <sz val="11"/>
      <color theme="11"/>
      <name val="Calibri"/>
      <family val="2"/>
      <scheme val="minor"/>
    </font>
    <font>
      <sz val="10"/>
      <color theme="1"/>
      <name val="Calibri"/>
      <family val="2"/>
      <scheme val="minor"/>
    </font>
    <font>
      <sz val="10.5"/>
      <color theme="0"/>
      <name val="Metropolis"/>
    </font>
    <font>
      <sz val="10.5"/>
      <color theme="1"/>
      <name val="Metropolis"/>
    </font>
    <font>
      <b/>
      <sz val="18"/>
      <color theme="0"/>
      <name val="Metropolis"/>
    </font>
    <font>
      <b/>
      <sz val="18"/>
      <color theme="1"/>
      <name val="Metropolis"/>
    </font>
    <font>
      <b/>
      <sz val="16"/>
      <color theme="0"/>
      <name val="Metropolis"/>
    </font>
    <font>
      <sz val="10"/>
      <color theme="1"/>
      <name val="Metropolis"/>
    </font>
    <font>
      <b/>
      <sz val="10"/>
      <color theme="1"/>
      <name val="Metropolis"/>
    </font>
    <font>
      <sz val="11"/>
      <color theme="1"/>
      <name val="Metropolis"/>
    </font>
    <font>
      <b/>
      <sz val="11"/>
      <color theme="1"/>
      <name val="Metropolis"/>
    </font>
    <font>
      <sz val="10.5"/>
      <name val="Metropolis"/>
    </font>
    <font>
      <b/>
      <sz val="10.5"/>
      <name val="Metropolis"/>
    </font>
    <font>
      <sz val="10"/>
      <name val="Metropolis"/>
    </font>
    <font>
      <b/>
      <sz val="10"/>
      <name val="Metropolis"/>
    </font>
    <font>
      <b/>
      <sz val="12"/>
      <color theme="1"/>
      <name val="Metropolis"/>
    </font>
    <font>
      <sz val="12"/>
      <color theme="1"/>
      <name val="Metropolis"/>
    </font>
    <font>
      <sz val="10.5"/>
      <color rgb="FFFF0000"/>
      <name val="Metropolis"/>
    </font>
    <font>
      <b/>
      <sz val="14"/>
      <color theme="0"/>
      <name val="Metropolis"/>
    </font>
    <font>
      <i/>
      <sz val="10"/>
      <name val="Metropolis"/>
    </font>
    <font>
      <sz val="10"/>
      <color rgb="FFFF0000"/>
      <name val="Metropolis"/>
    </font>
    <font>
      <b/>
      <sz val="10"/>
      <color theme="0"/>
      <name val="Metropolis"/>
    </font>
    <font>
      <sz val="10"/>
      <color theme="0"/>
      <name val="Metropolis"/>
    </font>
    <font>
      <sz val="14"/>
      <color theme="1"/>
      <name val="Metropolis"/>
    </font>
    <font>
      <b/>
      <sz val="12"/>
      <name val="Metropolis"/>
    </font>
    <font>
      <sz val="10.5"/>
      <color theme="4"/>
      <name val="Metropolis"/>
    </font>
    <font>
      <sz val="10.5"/>
      <color rgb="FF000000"/>
      <name val="Metropolis"/>
    </font>
    <font>
      <b/>
      <sz val="10"/>
      <color theme="6"/>
      <name val="Metropolis"/>
    </font>
    <font>
      <sz val="10"/>
      <color rgb="FF000000"/>
      <name val="Metropolis"/>
    </font>
    <font>
      <b/>
      <sz val="10"/>
      <color theme="4"/>
      <name val="Metropolis"/>
    </font>
    <font>
      <b/>
      <sz val="10"/>
      <color theme="8"/>
      <name val="Metropolis"/>
    </font>
    <font>
      <b/>
      <sz val="10"/>
      <color theme="7"/>
      <name val="Metropolis"/>
    </font>
    <font>
      <sz val="16"/>
      <color theme="1"/>
      <name val="Metropolis"/>
    </font>
    <font>
      <sz val="10"/>
      <color theme="4"/>
      <name val="Metropolis"/>
    </font>
    <font>
      <b/>
      <u/>
      <sz val="10"/>
      <name val="Metropolis"/>
    </font>
    <font>
      <b/>
      <sz val="10"/>
      <color rgb="FF0070C0"/>
      <name val="Metropolis"/>
    </font>
    <font>
      <b/>
      <sz val="10"/>
      <color theme="3"/>
      <name val="Metropolis"/>
    </font>
    <font>
      <b/>
      <sz val="10"/>
      <color theme="9"/>
      <name val="Metropolis"/>
    </font>
    <font>
      <b/>
      <sz val="10"/>
      <color theme="5"/>
      <name val="Metropolis"/>
    </font>
    <font>
      <b/>
      <sz val="10"/>
      <color rgb="FFFFFFFF"/>
      <name val="Metropolis"/>
    </font>
    <font>
      <sz val="10"/>
      <color rgb="FFFFFFFF"/>
      <name val="Metropolis"/>
    </font>
    <font>
      <b/>
      <sz val="10"/>
      <color rgb="FFFF0000"/>
      <name val="Metropolis"/>
    </font>
    <font>
      <b/>
      <sz val="11"/>
      <color theme="1"/>
      <name val="Calibri"/>
      <family val="2"/>
      <scheme val="minor"/>
    </font>
    <font>
      <b/>
      <sz val="10"/>
      <color rgb="FFFFC000"/>
      <name val="Metropolis"/>
    </font>
    <font>
      <b/>
      <sz val="12"/>
      <color theme="0"/>
      <name val="Metropolis"/>
    </font>
    <font>
      <b/>
      <sz val="11"/>
      <color theme="0"/>
      <name val="Metropolis"/>
    </font>
    <font>
      <sz val="12"/>
      <color theme="0"/>
      <name val="Metropolis"/>
    </font>
  </fonts>
  <fills count="20">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lightUp">
        <bgColor theme="0" tint="-0.14999847407452621"/>
      </patternFill>
    </fill>
    <fill>
      <patternFill patternType="solid">
        <fgColor theme="0" tint="-0.249977111117893"/>
        <bgColor indexed="64"/>
      </patternFill>
    </fill>
    <fill>
      <patternFill patternType="solid">
        <fgColor theme="3" tint="0.39997558519241921"/>
        <bgColor indexed="64"/>
      </patternFill>
    </fill>
    <fill>
      <patternFill patternType="solid">
        <fgColor rgb="FF000000"/>
        <bgColor rgb="FF000000"/>
      </patternFill>
    </fill>
    <fill>
      <patternFill patternType="solid">
        <fgColor rgb="FF366092"/>
        <bgColor rgb="FF000000"/>
      </patternFill>
    </fill>
    <fill>
      <patternFill patternType="solid">
        <fgColor rgb="FFFFFFE5"/>
        <bgColor rgb="FF000000"/>
      </patternFill>
    </fill>
    <fill>
      <patternFill patternType="solid">
        <fgColor theme="4" tint="-0.499984740745262"/>
        <bgColor indexed="64"/>
      </patternFill>
    </fill>
  </fills>
  <borders count="4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style="thin">
        <color rgb="FF000000"/>
      </right>
      <top style="thin">
        <color auto="1"/>
      </top>
      <bottom style="thin">
        <color auto="1"/>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style="thin">
        <color indexed="64"/>
      </right>
      <top/>
      <bottom/>
      <diagonal/>
    </border>
    <border>
      <left/>
      <right style="thin">
        <color theme="4" tint="-0.499984740745262"/>
      </right>
      <top/>
      <bottom/>
      <diagonal/>
    </border>
    <border>
      <left/>
      <right style="thin">
        <color theme="4" tint="-0.499984740745262"/>
      </right>
      <top/>
      <bottom style="thin">
        <color auto="1"/>
      </bottom>
      <diagonal/>
    </border>
    <border>
      <left style="thin">
        <color theme="4" tint="-0.499984740745262"/>
      </left>
      <right/>
      <top style="thin">
        <color auto="1"/>
      </top>
      <bottom style="thin">
        <color auto="1"/>
      </bottom>
      <diagonal/>
    </border>
    <border>
      <left/>
      <right style="thin">
        <color theme="4" tint="-0.499984740745262"/>
      </right>
      <top style="thin">
        <color auto="1"/>
      </top>
      <bottom style="thin">
        <color auto="1"/>
      </bottom>
      <diagonal/>
    </border>
    <border>
      <left style="thin">
        <color theme="4" tint="-0.24994659260841701"/>
      </left>
      <right/>
      <top style="thin">
        <color auto="1"/>
      </top>
      <bottom style="thin">
        <color auto="1"/>
      </bottom>
      <diagonal/>
    </border>
    <border>
      <left/>
      <right style="thin">
        <color theme="4" tint="-0.24994659260841701"/>
      </right>
      <top style="thin">
        <color auto="1"/>
      </top>
      <bottom style="thin">
        <color auto="1"/>
      </bottom>
      <diagonal/>
    </border>
    <border>
      <left style="thin">
        <color theme="0" tint="-0.499984740745262"/>
      </left>
      <right style="thin">
        <color theme="0" tint="-0.499984740745262"/>
      </right>
      <top style="thin">
        <color theme="0" tint="-0.499984740745262"/>
      </top>
      <bottom/>
      <diagonal/>
    </border>
  </borders>
  <cellStyleXfs count="24">
    <xf numFmtId="0" fontId="0" fillId="0" borderId="0"/>
    <xf numFmtId="0" fontId="1"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xf numFmtId="0" fontId="4" fillId="0" borderId="0" applyNumberFormat="0" applyFill="0" applyBorder="0" applyAlignment="0" applyProtection="0"/>
    <xf numFmtId="0" fontId="5" fillId="5" borderId="0" applyNumberFormat="0" applyBorder="0" applyAlignment="0" applyProtection="0"/>
    <xf numFmtId="0" fontId="6" fillId="0" borderId="0" applyNumberFormat="0" applyFill="0" applyBorder="0" applyAlignment="0" applyProtection="0"/>
    <xf numFmtId="0" fontId="5" fillId="4"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 fillId="0" borderId="0"/>
  </cellStyleXfs>
  <cellXfs count="476">
    <xf numFmtId="0" fontId="0" fillId="0" borderId="0" xfId="0"/>
    <xf numFmtId="0" fontId="7" fillId="0" borderId="0" xfId="0" applyFont="1" applyAlignment="1"/>
    <xf numFmtId="0" fontId="7" fillId="0" borderId="0" xfId="0" applyFont="1"/>
    <xf numFmtId="0" fontId="0" fillId="0" borderId="0" xfId="0" applyFont="1"/>
    <xf numFmtId="0" fontId="7" fillId="8" borderId="0" xfId="0" applyFont="1" applyFill="1"/>
    <xf numFmtId="0" fontId="7" fillId="8" borderId="0" xfId="0" applyFont="1" applyFill="1" applyAlignment="1"/>
    <xf numFmtId="0" fontId="7" fillId="0" borderId="0" xfId="0" applyFont="1" applyFill="1" applyAlignment="1"/>
    <xf numFmtId="0" fontId="7" fillId="8" borderId="0" xfId="3" applyFont="1" applyFill="1" applyAlignment="1" applyProtection="1"/>
    <xf numFmtId="0" fontId="7" fillId="8" borderId="0" xfId="3" applyFont="1" applyFill="1" applyAlignment="1" applyProtection="1">
      <alignment wrapText="1"/>
    </xf>
    <xf numFmtId="0" fontId="7" fillId="0" borderId="0" xfId="0" applyFont="1" applyFill="1"/>
    <xf numFmtId="0" fontId="7" fillId="8" borderId="0" xfId="0" applyFont="1" applyFill="1" applyAlignment="1">
      <alignment wrapText="1"/>
    </xf>
    <xf numFmtId="0" fontId="8" fillId="8" borderId="0" xfId="3" applyFont="1" applyFill="1" applyAlignment="1" applyProtection="1"/>
    <xf numFmtId="0" fontId="0" fillId="8" borderId="0" xfId="0" applyFill="1"/>
    <xf numFmtId="0" fontId="0" fillId="0" borderId="0" xfId="0" applyFill="1"/>
    <xf numFmtId="0" fontId="0" fillId="8" borderId="0" xfId="0" applyFont="1" applyFill="1"/>
    <xf numFmtId="0" fontId="0" fillId="0" borderId="0" xfId="0" applyFont="1" applyFill="1"/>
    <xf numFmtId="0" fontId="9" fillId="0" borderId="0" xfId="0" applyFont="1"/>
    <xf numFmtId="0" fontId="10" fillId="8" borderId="0" xfId="0" applyFont="1" applyFill="1"/>
    <xf numFmtId="0" fontId="0" fillId="0" borderId="0" xfId="0" applyFont="1" applyAlignment="1"/>
    <xf numFmtId="0" fontId="0" fillId="0" borderId="0" xfId="0" applyFont="1" applyBorder="1"/>
    <xf numFmtId="0" fontId="0" fillId="8" borderId="0" xfId="0" applyFont="1" applyFill="1" applyBorder="1"/>
    <xf numFmtId="0" fontId="12" fillId="8" borderId="0" xfId="3" applyFont="1" applyFill="1" applyBorder="1" applyAlignment="1" applyProtection="1"/>
    <xf numFmtId="0" fontId="10" fillId="0" borderId="0" xfId="0" applyFont="1" applyFill="1"/>
    <xf numFmtId="0" fontId="10" fillId="8" borderId="0" xfId="0" applyFont="1" applyFill="1" applyAlignment="1">
      <alignment wrapText="1"/>
    </xf>
    <xf numFmtId="15" fontId="0" fillId="0" borderId="0" xfId="0" applyNumberFormat="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0" fontId="13"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4" fillId="11" borderId="0" xfId="0" applyFont="1" applyFill="1" applyBorder="1" applyAlignment="1">
      <alignment horizontal="center" vertical="center"/>
    </xf>
    <xf numFmtId="0" fontId="15"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0" fontId="17" fillId="6" borderId="0" xfId="0" applyFont="1" applyFill="1" applyBorder="1" applyAlignment="1">
      <alignment horizontal="left" vertical="center" wrapText="1"/>
    </xf>
    <xf numFmtId="0" fontId="14" fillId="6" borderId="0" xfId="0" applyFont="1" applyFill="1" applyBorder="1" applyAlignment="1">
      <alignment horizontal="center" vertical="center"/>
    </xf>
    <xf numFmtId="0" fontId="14" fillId="6"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14" fillId="6"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horizontal="center" vertical="center"/>
    </xf>
    <xf numFmtId="0" fontId="14" fillId="11" borderId="0" xfId="0" applyFont="1" applyFill="1"/>
    <xf numFmtId="0" fontId="14" fillId="11" borderId="0" xfId="0" applyFont="1" applyFill="1" applyAlignment="1">
      <alignment horizontal="center" vertical="center"/>
    </xf>
    <xf numFmtId="0" fontId="14" fillId="3" borderId="0" xfId="0" applyFont="1" applyFill="1"/>
    <xf numFmtId="0" fontId="14" fillId="3" borderId="0" xfId="0" applyFont="1" applyFill="1" applyAlignment="1">
      <alignment horizontal="center" vertical="center"/>
    </xf>
    <xf numFmtId="0" fontId="18" fillId="0" borderId="0" xfId="0" applyFont="1"/>
    <xf numFmtId="0" fontId="18" fillId="11" borderId="0" xfId="0" applyFont="1" applyFill="1"/>
    <xf numFmtId="0" fontId="18" fillId="3" borderId="2" xfId="0" applyFont="1" applyFill="1" applyBorder="1" applyAlignment="1">
      <alignment vertical="center"/>
    </xf>
    <xf numFmtId="0" fontId="18" fillId="3" borderId="2" xfId="0" applyFont="1" applyFill="1" applyBorder="1" applyAlignment="1">
      <alignment horizontal="center" vertical="center"/>
    </xf>
    <xf numFmtId="0" fontId="24" fillId="3" borderId="2" xfId="0" applyFont="1" applyFill="1" applyBorder="1" applyAlignment="1">
      <alignment vertical="center"/>
    </xf>
    <xf numFmtId="9" fontId="18" fillId="3" borderId="2" xfId="0" applyNumberFormat="1" applyFont="1" applyFill="1" applyBorder="1" applyAlignment="1">
      <alignment horizontal="center" vertical="center"/>
    </xf>
    <xf numFmtId="0" fontId="22" fillId="0" borderId="0" xfId="1" applyFont="1" applyFill="1" applyBorder="1" applyAlignment="1">
      <alignment horizontal="left" vertical="center"/>
    </xf>
    <xf numFmtId="0" fontId="24" fillId="0" borderId="0" xfId="1" applyFont="1" applyFill="1" applyBorder="1" applyAlignment="1">
      <alignment horizontal="left"/>
    </xf>
    <xf numFmtId="0" fontId="24" fillId="0" borderId="0" xfId="1" applyFont="1" applyFill="1" applyBorder="1" applyAlignment="1"/>
    <xf numFmtId="0" fontId="24" fillId="0" borderId="0" xfId="1" applyFont="1" applyFill="1" applyBorder="1" applyAlignment="1">
      <alignment horizontal="left" vertical="center"/>
    </xf>
    <xf numFmtId="0" fontId="27" fillId="11" borderId="0" xfId="4" applyFont="1" applyFill="1"/>
    <xf numFmtId="0" fontId="22" fillId="11" borderId="0" xfId="1" applyFont="1" applyFill="1" applyBorder="1" applyAlignment="1">
      <alignment horizontal="left"/>
    </xf>
    <xf numFmtId="0" fontId="22" fillId="11" borderId="0" xfId="1" applyFont="1" applyFill="1" applyBorder="1" applyAlignment="1"/>
    <xf numFmtId="0" fontId="36" fillId="11" borderId="0" xfId="1" applyFont="1" applyFill="1"/>
    <xf numFmtId="0" fontId="22" fillId="11" borderId="0" xfId="1" applyFont="1" applyFill="1" applyBorder="1" applyAlignment="1">
      <alignment horizontal="left" vertical="center"/>
    </xf>
    <xf numFmtId="0" fontId="22" fillId="11" borderId="0" xfId="1" applyFont="1" applyFill="1" applyBorder="1" applyAlignment="1">
      <alignment vertical="center"/>
    </xf>
    <xf numFmtId="0" fontId="14" fillId="11" borderId="0" xfId="4" applyFont="1" applyFill="1"/>
    <xf numFmtId="0" fontId="14" fillId="0" borderId="0" xfId="4" applyFont="1"/>
    <xf numFmtId="0" fontId="37" fillId="11" borderId="0" xfId="4" applyFont="1" applyFill="1" applyBorder="1" applyAlignment="1">
      <alignment horizontal="center"/>
    </xf>
    <xf numFmtId="0" fontId="37" fillId="11" borderId="0" xfId="4" applyFont="1" applyFill="1"/>
    <xf numFmtId="0" fontId="27" fillId="0" borderId="0" xfId="4" applyFont="1"/>
    <xf numFmtId="0" fontId="18" fillId="11" borderId="0" xfId="4" applyFont="1" applyFill="1" applyAlignment="1">
      <alignment vertical="center"/>
    </xf>
    <xf numFmtId="0" fontId="33" fillId="11" borderId="0" xfId="4" applyFont="1" applyFill="1" applyBorder="1" applyAlignment="1">
      <alignment vertical="center"/>
    </xf>
    <xf numFmtId="0" fontId="18" fillId="0" borderId="0" xfId="4" applyFont="1" applyAlignment="1">
      <alignment vertical="center"/>
    </xf>
    <xf numFmtId="0" fontId="19" fillId="7" borderId="9" xfId="4" applyFont="1" applyFill="1" applyBorder="1" applyAlignment="1">
      <alignment horizontal="center" vertical="center"/>
    </xf>
    <xf numFmtId="0" fontId="19" fillId="7" borderId="2" xfId="4" applyFont="1" applyFill="1" applyBorder="1" applyAlignment="1">
      <alignment horizontal="center" vertical="center"/>
    </xf>
    <xf numFmtId="0" fontId="19" fillId="7" borderId="10" xfId="4" applyFont="1" applyFill="1" applyBorder="1" applyAlignment="1">
      <alignment horizontal="center" vertical="center"/>
    </xf>
    <xf numFmtId="0" fontId="19" fillId="11" borderId="0" xfId="4" applyFont="1" applyFill="1" applyBorder="1" applyAlignment="1">
      <alignment horizontal="center" vertical="center"/>
    </xf>
    <xf numFmtId="0" fontId="39" fillId="11" borderId="0" xfId="4" applyFont="1" applyFill="1" applyBorder="1" applyAlignment="1">
      <alignment horizontal="center" vertical="center"/>
    </xf>
    <xf numFmtId="0" fontId="18" fillId="11" borderId="0" xfId="4" applyFont="1" applyFill="1" applyBorder="1" applyAlignment="1">
      <alignment vertical="center"/>
    </xf>
    <xf numFmtId="0" fontId="18" fillId="11" borderId="0" xfId="4" applyFont="1" applyFill="1" applyBorder="1" applyAlignment="1">
      <alignment horizontal="center" vertical="center"/>
    </xf>
    <xf numFmtId="0" fontId="39" fillId="11" borderId="0" xfId="4" applyFont="1" applyFill="1" applyAlignment="1">
      <alignment vertical="center"/>
    </xf>
    <xf numFmtId="0" fontId="39" fillId="11" borderId="0" xfId="4" applyFont="1" applyFill="1" applyBorder="1" applyAlignment="1">
      <alignment vertical="center"/>
    </xf>
    <xf numFmtId="2" fontId="18" fillId="11" borderId="0" xfId="4" applyNumberFormat="1" applyFont="1" applyFill="1" applyAlignment="1">
      <alignment vertical="center"/>
    </xf>
    <xf numFmtId="0" fontId="19" fillId="11" borderId="0" xfId="4" applyFont="1" applyFill="1" applyBorder="1" applyAlignment="1">
      <alignment vertical="center"/>
    </xf>
    <xf numFmtId="0" fontId="14" fillId="11" borderId="0" xfId="4" applyFont="1" applyFill="1" applyAlignment="1">
      <alignment vertical="center"/>
    </xf>
    <xf numFmtId="0" fontId="37" fillId="11" borderId="0" xfId="4" applyFont="1" applyFill="1" applyAlignment="1">
      <alignment vertical="center"/>
    </xf>
    <xf numFmtId="0" fontId="14" fillId="0" borderId="0" xfId="4" applyFont="1" applyAlignment="1">
      <alignment vertical="center"/>
    </xf>
    <xf numFmtId="0" fontId="44" fillId="0" borderId="0" xfId="1" applyFont="1"/>
    <xf numFmtId="0" fontId="32" fillId="2" borderId="2" xfId="1" applyFont="1" applyFill="1" applyBorder="1" applyAlignment="1">
      <alignment vertical="center"/>
    </xf>
    <xf numFmtId="0" fontId="24" fillId="8" borderId="2" xfId="1" applyFont="1" applyFill="1" applyBorder="1" applyAlignment="1" applyProtection="1">
      <alignment horizontal="left" vertical="center"/>
    </xf>
    <xf numFmtId="0" fontId="24" fillId="11" borderId="0" xfId="1" applyFont="1" applyFill="1" applyBorder="1" applyAlignment="1">
      <alignment horizontal="left" vertical="center"/>
    </xf>
    <xf numFmtId="0" fontId="33" fillId="2" borderId="2" xfId="1" applyFont="1" applyFill="1" applyBorder="1" applyAlignment="1">
      <alignment vertical="center"/>
    </xf>
    <xf numFmtId="0" fontId="24" fillId="11" borderId="0" xfId="1" applyFont="1" applyFill="1" applyBorder="1" applyAlignment="1">
      <alignment vertical="center"/>
    </xf>
    <xf numFmtId="0" fontId="24" fillId="11" borderId="0" xfId="1" applyFont="1" applyFill="1" applyBorder="1" applyAlignment="1">
      <alignment horizontal="left"/>
    </xf>
    <xf numFmtId="0" fontId="24" fillId="11" borderId="0" xfId="1" applyFont="1" applyFill="1" applyBorder="1" applyAlignment="1"/>
    <xf numFmtId="0" fontId="44" fillId="11" borderId="0" xfId="1" applyFont="1" applyFill="1"/>
    <xf numFmtId="0" fontId="33" fillId="9" borderId="0" xfId="0" applyFont="1" applyFill="1" applyAlignment="1">
      <alignment vertical="center"/>
    </xf>
    <xf numFmtId="0" fontId="33" fillId="19" borderId="36" xfId="0" applyFont="1" applyFill="1" applyBorder="1" applyAlignment="1">
      <alignment vertical="center"/>
    </xf>
    <xf numFmtId="0" fontId="33" fillId="19" borderId="37" xfId="0" applyFont="1" applyFill="1" applyBorder="1" applyAlignment="1">
      <alignment vertical="center"/>
    </xf>
    <xf numFmtId="0" fontId="32" fillId="11" borderId="0" xfId="1" applyFont="1" applyFill="1" applyBorder="1" applyAlignment="1">
      <alignment vertical="center"/>
    </xf>
    <xf numFmtId="0" fontId="32" fillId="9" borderId="38" xfId="0" applyFont="1" applyFill="1" applyBorder="1" applyAlignment="1">
      <alignment vertical="center"/>
    </xf>
    <xf numFmtId="0" fontId="18" fillId="9" borderId="39" xfId="0" applyFont="1" applyFill="1" applyBorder="1" applyAlignment="1">
      <alignment vertical="center"/>
    </xf>
    <xf numFmtId="0" fontId="32" fillId="9" borderId="40" xfId="0" applyFont="1" applyFill="1" applyBorder="1" applyAlignment="1">
      <alignment vertical="center"/>
    </xf>
    <xf numFmtId="0" fontId="18" fillId="9" borderId="41" xfId="0" applyFont="1" applyFill="1" applyBorder="1" applyAlignment="1">
      <alignment vertical="center"/>
    </xf>
    <xf numFmtId="0" fontId="32" fillId="2" borderId="2" xfId="0" applyFont="1" applyFill="1" applyBorder="1"/>
    <xf numFmtId="0" fontId="18" fillId="8" borderId="2" xfId="0" applyFont="1" applyFill="1" applyBorder="1"/>
    <xf numFmtId="0" fontId="41" fillId="13" borderId="2" xfId="4" applyFont="1" applyFill="1" applyBorder="1" applyAlignment="1">
      <alignment horizontal="center"/>
    </xf>
    <xf numFmtId="2" fontId="18" fillId="8" borderId="2" xfId="0" applyNumberFormat="1" applyFont="1" applyFill="1" applyBorder="1"/>
    <xf numFmtId="0" fontId="24" fillId="8" borderId="2" xfId="0" applyFont="1" applyFill="1" applyBorder="1"/>
    <xf numFmtId="0" fontId="0" fillId="8" borderId="0" xfId="0" applyFill="1" applyAlignment="1" applyProtection="1">
      <alignment horizontal="center"/>
    </xf>
    <xf numFmtId="0" fontId="0" fillId="0" borderId="0" xfId="0" applyProtection="1"/>
    <xf numFmtId="0" fontId="53" fillId="8" borderId="0" xfId="0" applyFont="1" applyFill="1" applyAlignment="1" applyProtection="1">
      <alignment horizontal="center" vertical="center"/>
    </xf>
    <xf numFmtId="0" fontId="53" fillId="8" borderId="0" xfId="0" applyFont="1" applyFill="1" applyAlignment="1" applyProtection="1">
      <alignment horizontal="center"/>
    </xf>
    <xf numFmtId="164" fontId="0" fillId="0" borderId="0" xfId="0" applyNumberFormat="1" applyAlignment="1" applyProtection="1">
      <alignment horizontal="center" vertical="center"/>
    </xf>
    <xf numFmtId="0" fontId="0" fillId="0" borderId="0" xfId="0" applyAlignment="1" applyProtection="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0" fontId="18" fillId="0" borderId="0" xfId="0" applyFont="1" applyFill="1" applyBorder="1" applyAlignment="1">
      <alignment vertical="center"/>
    </xf>
    <xf numFmtId="0" fontId="54" fillId="10" borderId="2" xfId="3" applyFont="1" applyFill="1" applyBorder="1" applyAlignment="1" applyProtection="1">
      <alignment horizontal="left" vertical="center"/>
    </xf>
    <xf numFmtId="15" fontId="0" fillId="0" borderId="0" xfId="0" applyNumberFormat="1" applyAlignment="1">
      <alignment horizontal="center" vertical="center"/>
    </xf>
    <xf numFmtId="0" fontId="55" fillId="19" borderId="32" xfId="0" applyFont="1" applyFill="1" applyBorder="1" applyAlignment="1">
      <alignment vertical="center"/>
    </xf>
    <xf numFmtId="0" fontId="55" fillId="19" borderId="0" xfId="0" applyFont="1" applyFill="1" applyAlignment="1">
      <alignment vertical="center"/>
    </xf>
    <xf numFmtId="15" fontId="0" fillId="0" borderId="0" xfId="0" applyNumberFormat="1" applyAlignment="1">
      <alignment horizontal="center" vertical="center"/>
    </xf>
    <xf numFmtId="0" fontId="57" fillId="11" borderId="0" xfId="4" applyFont="1" applyFill="1" applyBorder="1" applyAlignment="1">
      <alignment vertical="center"/>
    </xf>
    <xf numFmtId="0" fontId="18" fillId="11" borderId="0" xfId="0" applyFont="1" applyFill="1" applyAlignment="1">
      <alignment vertical="center"/>
    </xf>
    <xf numFmtId="0" fontId="18" fillId="8" borderId="2" xfId="0" applyFont="1" applyFill="1" applyBorder="1" applyAlignment="1">
      <alignment horizontal="center" vertical="center"/>
    </xf>
    <xf numFmtId="0" fontId="24" fillId="10" borderId="2" xfId="1" applyFont="1" applyFill="1" applyBorder="1" applyAlignment="1" applyProtection="1">
      <alignment horizontal="left" vertical="center"/>
      <protection locked="0"/>
    </xf>
    <xf numFmtId="0" fontId="18" fillId="0" borderId="0" xfId="0" applyFont="1" applyAlignment="1">
      <alignment vertical="center"/>
    </xf>
    <xf numFmtId="15" fontId="0" fillId="0" borderId="0" xfId="0" applyNumberFormat="1" applyAlignment="1">
      <alignment horizontal="center" vertical="center"/>
    </xf>
    <xf numFmtId="0" fontId="32" fillId="2" borderId="2" xfId="1" applyFont="1" applyFill="1" applyBorder="1" applyAlignment="1">
      <alignment horizontal="left" vertical="center" indent="1"/>
    </xf>
    <xf numFmtId="0" fontId="18" fillId="0" borderId="0" xfId="0" applyFont="1" applyFill="1" applyBorder="1" applyAlignment="1" applyProtection="1">
      <alignment horizontal="left" vertical="center" wrapText="1"/>
    </xf>
    <xf numFmtId="0" fontId="18" fillId="0" borderId="0" xfId="0" applyFont="1" applyFill="1" applyBorder="1" applyAlignment="1" applyProtection="1">
      <alignment horizontal="center" vertical="center"/>
      <protection locked="0"/>
    </xf>
    <xf numFmtId="0" fontId="18" fillId="0" borderId="0"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center" vertical="center" wrapText="1"/>
      <protection locked="0"/>
    </xf>
    <xf numFmtId="0" fontId="20" fillId="0" borderId="0" xfId="0" applyFont="1" applyProtection="1"/>
    <xf numFmtId="0" fontId="20" fillId="0" borderId="0" xfId="0" applyFont="1" applyAlignment="1" applyProtection="1">
      <alignment horizontal="center"/>
    </xf>
    <xf numFmtId="0" fontId="19" fillId="7" borderId="0" xfId="0" applyFont="1" applyFill="1" applyAlignment="1" applyProtection="1">
      <alignment horizontal="center" vertical="center" wrapText="1"/>
    </xf>
    <xf numFmtId="0" fontId="18" fillId="0" borderId="0" xfId="0" applyFont="1" applyAlignment="1" applyProtection="1">
      <alignment wrapText="1"/>
    </xf>
    <xf numFmtId="0" fontId="19" fillId="14" borderId="0" xfId="0" applyFont="1" applyFill="1" applyAlignment="1" applyProtection="1">
      <alignment horizontal="center" vertical="center" wrapText="1"/>
    </xf>
    <xf numFmtId="0" fontId="18" fillId="0" borderId="0" xfId="0" applyFont="1" applyAlignment="1" applyProtection="1">
      <alignment vertical="center" wrapText="1"/>
    </xf>
    <xf numFmtId="0" fontId="21" fillId="12" borderId="0" xfId="0" applyFont="1" applyFill="1" applyAlignment="1" applyProtection="1">
      <alignment vertical="center"/>
    </xf>
    <xf numFmtId="0" fontId="18" fillId="12" borderId="0" xfId="0" applyFont="1" applyFill="1" applyAlignment="1" applyProtection="1">
      <alignment vertical="center"/>
    </xf>
    <xf numFmtId="0" fontId="19" fillId="12" borderId="0" xfId="0" applyFont="1" applyFill="1" applyAlignment="1" applyProtection="1">
      <alignment horizontal="center" vertical="center"/>
    </xf>
    <xf numFmtId="0" fontId="18" fillId="12" borderId="0" xfId="0" applyFont="1" applyFill="1" applyAlignment="1" applyProtection="1">
      <alignment horizontal="center" vertical="center"/>
    </xf>
    <xf numFmtId="0" fontId="18" fillId="0" borderId="0" xfId="0" applyFont="1" applyAlignment="1" applyProtection="1">
      <alignment vertical="center"/>
    </xf>
    <xf numFmtId="0" fontId="19" fillId="3" borderId="2" xfId="0" applyFont="1" applyFill="1" applyBorder="1" applyAlignment="1" applyProtection="1">
      <alignment vertical="center"/>
    </xf>
    <xf numFmtId="0" fontId="18" fillId="3" borderId="2" xfId="0" applyFont="1" applyFill="1" applyBorder="1" applyAlignment="1" applyProtection="1">
      <alignment vertical="center"/>
    </xf>
    <xf numFmtId="0" fontId="19" fillId="3" borderId="2" xfId="0" applyFont="1" applyFill="1" applyBorder="1" applyAlignment="1" applyProtection="1">
      <alignment horizontal="center" vertical="center"/>
    </xf>
    <xf numFmtId="0" fontId="18" fillId="3" borderId="2" xfId="0" applyFont="1" applyFill="1" applyBorder="1" applyAlignment="1" applyProtection="1">
      <alignment horizontal="center" vertical="center"/>
    </xf>
    <xf numFmtId="0" fontId="24" fillId="3" borderId="2" xfId="0" applyFont="1" applyFill="1" applyBorder="1" applyAlignment="1" applyProtection="1">
      <alignment vertical="center"/>
    </xf>
    <xf numFmtId="9" fontId="18" fillId="3" borderId="2" xfId="0" applyNumberFormat="1" applyFont="1" applyFill="1" applyBorder="1" applyAlignment="1" applyProtection="1">
      <alignment horizontal="center" vertical="center"/>
    </xf>
    <xf numFmtId="0" fontId="18" fillId="8" borderId="2" xfId="0" applyFont="1" applyFill="1" applyBorder="1" applyAlignment="1" applyProtection="1">
      <alignment horizontal="center" vertical="center"/>
    </xf>
    <xf numFmtId="0" fontId="18" fillId="11" borderId="0" xfId="0" applyFont="1" applyFill="1" applyAlignment="1" applyProtection="1">
      <alignment vertical="center"/>
    </xf>
    <xf numFmtId="0" fontId="24" fillId="11" borderId="0" xfId="0" applyFont="1" applyFill="1" applyBorder="1" applyAlignment="1" applyProtection="1">
      <alignment vertical="center"/>
    </xf>
    <xf numFmtId="0" fontId="18" fillId="11" borderId="0" xfId="0" applyFont="1" applyFill="1" applyBorder="1" applyAlignment="1" applyProtection="1">
      <alignment vertical="center"/>
    </xf>
    <xf numFmtId="0" fontId="25" fillId="11" borderId="0" xfId="0" applyFont="1" applyFill="1" applyBorder="1" applyAlignment="1" applyProtection="1">
      <alignment horizontal="right" vertical="center"/>
    </xf>
    <xf numFmtId="0" fontId="19" fillId="11" borderId="0" xfId="0" applyFont="1" applyFill="1" applyBorder="1" applyAlignment="1" applyProtection="1">
      <alignment horizontal="center" vertical="center"/>
    </xf>
    <xf numFmtId="0" fontId="18" fillId="11" borderId="0" xfId="0" applyFont="1" applyFill="1" applyBorder="1" applyAlignment="1" applyProtection="1">
      <alignment horizontal="center" vertical="center"/>
    </xf>
    <xf numFmtId="9" fontId="18" fillId="11" borderId="0" xfId="0" applyNumberFormat="1" applyFont="1" applyFill="1" applyBorder="1" applyAlignment="1" applyProtection="1">
      <alignment horizontal="center" vertical="center"/>
    </xf>
    <xf numFmtId="165" fontId="18" fillId="11" borderId="0" xfId="0" applyNumberFormat="1" applyFont="1" applyFill="1" applyBorder="1" applyAlignment="1" applyProtection="1">
      <alignment horizontal="center" vertical="center"/>
    </xf>
    <xf numFmtId="165" fontId="18" fillId="12" borderId="0" xfId="0" applyNumberFormat="1" applyFont="1" applyFill="1" applyAlignment="1" applyProtection="1">
      <alignment horizontal="center" vertical="center"/>
    </xf>
    <xf numFmtId="165" fontId="18" fillId="3" borderId="2" xfId="0" applyNumberFormat="1" applyFont="1" applyFill="1" applyBorder="1" applyAlignment="1" applyProtection="1">
      <alignment horizontal="center" vertical="center"/>
    </xf>
    <xf numFmtId="0" fontId="19" fillId="12" borderId="0" xfId="0" applyFont="1" applyFill="1" applyAlignment="1" applyProtection="1">
      <alignment vertical="center"/>
    </xf>
    <xf numFmtId="0" fontId="18" fillId="8" borderId="14"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19" fillId="11" borderId="24" xfId="0" applyFont="1" applyFill="1" applyBorder="1" applyAlignment="1" applyProtection="1">
      <alignment horizontal="center" vertical="center"/>
    </xf>
    <xf numFmtId="0" fontId="19" fillId="11" borderId="0" xfId="0" applyFont="1" applyFill="1" applyAlignment="1" applyProtection="1">
      <alignment vertical="center"/>
    </xf>
    <xf numFmtId="0" fontId="19" fillId="11" borderId="0" xfId="0" applyFont="1" applyFill="1" applyAlignment="1" applyProtection="1">
      <alignment horizontal="right" vertical="center"/>
    </xf>
    <xf numFmtId="165" fontId="18" fillId="11" borderId="0" xfId="0" applyNumberFormat="1" applyFont="1" applyFill="1" applyAlignment="1" applyProtection="1">
      <alignment horizontal="center" vertical="center"/>
    </xf>
    <xf numFmtId="0" fontId="18" fillId="11" borderId="0" xfId="0" applyFont="1" applyFill="1" applyAlignment="1" applyProtection="1">
      <alignment horizontal="center" vertical="center"/>
    </xf>
    <xf numFmtId="165" fontId="19" fillId="14" borderId="0" xfId="0" applyNumberFormat="1" applyFont="1" applyFill="1" applyAlignment="1" applyProtection="1">
      <alignment horizontal="center" vertical="center" wrapText="1"/>
    </xf>
    <xf numFmtId="165" fontId="19" fillId="7" borderId="0" xfId="0" applyNumberFormat="1" applyFont="1" applyFill="1" applyAlignment="1" applyProtection="1">
      <alignment horizontal="center" vertical="center" wrapText="1"/>
    </xf>
    <xf numFmtId="0" fontId="19" fillId="11" borderId="20" xfId="0" applyFont="1" applyFill="1" applyBorder="1" applyAlignment="1" applyProtection="1">
      <alignment horizontal="center" vertical="center"/>
    </xf>
    <xf numFmtId="0" fontId="18" fillId="11" borderId="20" xfId="0" applyFont="1" applyFill="1" applyBorder="1" applyAlignment="1" applyProtection="1">
      <alignment horizontal="center" vertical="center"/>
    </xf>
    <xf numFmtId="0" fontId="19" fillId="8" borderId="3" xfId="0" applyFont="1" applyFill="1" applyBorder="1" applyAlignment="1" applyProtection="1">
      <alignment vertical="center"/>
    </xf>
    <xf numFmtId="0" fontId="18" fillId="8" borderId="4" xfId="0" applyFont="1" applyFill="1" applyBorder="1" applyAlignment="1" applyProtection="1">
      <alignment vertical="center"/>
    </xf>
    <xf numFmtId="0" fontId="18" fillId="8" borderId="5" xfId="0" applyFont="1" applyFill="1" applyBorder="1" applyAlignment="1" applyProtection="1">
      <alignment vertical="center"/>
    </xf>
    <xf numFmtId="0" fontId="18" fillId="11" borderId="21" xfId="0" applyFont="1" applyFill="1" applyBorder="1" applyAlignment="1" applyProtection="1">
      <alignment vertical="center"/>
    </xf>
    <xf numFmtId="0" fontId="18" fillId="11" borderId="3" xfId="0" applyFont="1" applyFill="1" applyBorder="1" applyAlignment="1" applyProtection="1">
      <alignment vertical="center"/>
    </xf>
    <xf numFmtId="0" fontId="18" fillId="11" borderId="4" xfId="0" applyFont="1" applyFill="1" applyBorder="1" applyAlignment="1" applyProtection="1">
      <alignment vertical="center"/>
    </xf>
    <xf numFmtId="1" fontId="18" fillId="11" borderId="4" xfId="0" applyNumberFormat="1" applyFont="1" applyFill="1" applyBorder="1" applyAlignment="1" applyProtection="1">
      <alignment horizontal="right" vertical="center"/>
    </xf>
    <xf numFmtId="0" fontId="18" fillId="11" borderId="5" xfId="0" applyFont="1" applyFill="1" applyBorder="1" applyAlignment="1" applyProtection="1">
      <alignment vertical="center"/>
    </xf>
    <xf numFmtId="0" fontId="18" fillId="11" borderId="18" xfId="0" applyFont="1" applyFill="1" applyBorder="1" applyAlignment="1" applyProtection="1">
      <alignment vertical="center"/>
    </xf>
    <xf numFmtId="0" fontId="18" fillId="11" borderId="23" xfId="0" applyFont="1" applyFill="1" applyBorder="1" applyAlignment="1" applyProtection="1">
      <alignment vertical="center"/>
    </xf>
    <xf numFmtId="1" fontId="18" fillId="11" borderId="0" xfId="0" applyNumberFormat="1" applyFont="1" applyFill="1" applyBorder="1" applyAlignment="1" applyProtection="1">
      <alignment vertical="center"/>
    </xf>
    <xf numFmtId="1" fontId="18" fillId="11" borderId="0" xfId="0" applyNumberFormat="1" applyFont="1" applyFill="1" applyBorder="1" applyAlignment="1" applyProtection="1">
      <alignment horizontal="right" vertical="center"/>
    </xf>
    <xf numFmtId="0" fontId="19" fillId="14" borderId="18" xfId="0" applyFont="1" applyFill="1" applyBorder="1" applyAlignment="1" applyProtection="1">
      <alignment vertical="center"/>
    </xf>
    <xf numFmtId="0" fontId="19" fillId="14" borderId="0" xfId="0" applyFont="1" applyFill="1" applyBorder="1" applyAlignment="1" applyProtection="1">
      <alignment vertical="center"/>
    </xf>
    <xf numFmtId="0" fontId="19" fillId="14" borderId="0" xfId="0" applyFont="1" applyFill="1" applyBorder="1" applyAlignment="1" applyProtection="1">
      <alignment horizontal="center" vertical="center"/>
    </xf>
    <xf numFmtId="0" fontId="19" fillId="14" borderId="21" xfId="0" applyFont="1" applyFill="1" applyBorder="1" applyAlignment="1" applyProtection="1">
      <alignment horizontal="center" vertical="center"/>
    </xf>
    <xf numFmtId="0" fontId="19" fillId="11" borderId="18" xfId="0" applyFont="1" applyFill="1" applyBorder="1" applyAlignment="1" applyProtection="1">
      <alignment vertical="center"/>
    </xf>
    <xf numFmtId="0" fontId="18" fillId="11" borderId="22" xfId="0" applyFont="1" applyFill="1" applyBorder="1" applyAlignment="1" applyProtection="1">
      <alignment vertical="center"/>
    </xf>
    <xf numFmtId="0" fontId="18" fillId="11" borderId="20" xfId="0" applyFont="1" applyFill="1" applyBorder="1" applyAlignment="1" applyProtection="1">
      <alignment vertical="center"/>
    </xf>
    <xf numFmtId="1" fontId="18" fillId="11" borderId="20" xfId="0" applyNumberFormat="1" applyFont="1" applyFill="1" applyBorder="1" applyAlignment="1" applyProtection="1">
      <alignment horizontal="right" vertical="center"/>
    </xf>
    <xf numFmtId="1" fontId="18" fillId="11" borderId="20" xfId="0" applyNumberFormat="1" applyFont="1" applyFill="1" applyBorder="1" applyAlignment="1" applyProtection="1">
      <alignment vertical="center"/>
    </xf>
    <xf numFmtId="1" fontId="18" fillId="11" borderId="0" xfId="0" applyNumberFormat="1" applyFont="1" applyFill="1" applyBorder="1" applyAlignment="1" applyProtection="1">
      <alignment horizontal="center" vertical="center"/>
    </xf>
    <xf numFmtId="0" fontId="19" fillId="11" borderId="0" xfId="0" applyFont="1" applyFill="1" applyBorder="1" applyAlignment="1" applyProtection="1">
      <alignment vertical="center"/>
    </xf>
    <xf numFmtId="0" fontId="18" fillId="11" borderId="18" xfId="0" applyFont="1" applyFill="1" applyBorder="1" applyAlignment="1" applyProtection="1">
      <alignment horizontal="right" vertical="center"/>
    </xf>
    <xf numFmtId="2" fontId="18" fillId="11" borderId="0" xfId="0" applyNumberFormat="1" applyFont="1" applyFill="1" applyBorder="1" applyAlignment="1" applyProtection="1">
      <alignment horizontal="right" vertical="center"/>
    </xf>
    <xf numFmtId="0" fontId="18" fillId="11" borderId="22" xfId="0" applyFont="1" applyFill="1" applyBorder="1" applyAlignment="1" applyProtection="1">
      <alignment horizontal="right" vertical="center"/>
    </xf>
    <xf numFmtId="2" fontId="18" fillId="11" borderId="20" xfId="0" applyNumberFormat="1" applyFont="1" applyFill="1" applyBorder="1" applyAlignment="1" applyProtection="1">
      <alignment horizontal="right" vertical="center"/>
    </xf>
    <xf numFmtId="0" fontId="14" fillId="11" borderId="0" xfId="0" applyFont="1" applyFill="1" applyProtection="1"/>
    <xf numFmtId="0" fontId="14" fillId="11" borderId="0" xfId="0" applyFont="1" applyFill="1" applyAlignment="1" applyProtection="1">
      <alignment horizontal="center"/>
    </xf>
    <xf numFmtId="0" fontId="20" fillId="11" borderId="0" xfId="0" applyFont="1" applyFill="1" applyAlignment="1" applyProtection="1">
      <alignment horizontal="center"/>
    </xf>
    <xf numFmtId="0" fontId="20" fillId="11" borderId="0" xfId="0" applyFont="1" applyFill="1" applyProtection="1"/>
    <xf numFmtId="0" fontId="18" fillId="10" borderId="0" xfId="0" applyFont="1" applyFill="1" applyBorder="1" applyAlignment="1" applyProtection="1">
      <alignment horizontal="center" vertical="center"/>
      <protection locked="0"/>
    </xf>
    <xf numFmtId="0" fontId="18" fillId="10" borderId="0" xfId="0" applyFont="1" applyFill="1" applyBorder="1" applyAlignment="1" applyProtection="1">
      <alignment vertical="center"/>
      <protection locked="0"/>
    </xf>
    <xf numFmtId="0" fontId="19" fillId="10" borderId="0" xfId="0" applyFont="1" applyFill="1" applyBorder="1" applyAlignment="1" applyProtection="1">
      <alignment horizontal="center" vertical="center"/>
      <protection locked="0"/>
    </xf>
    <xf numFmtId="0" fontId="19" fillId="10" borderId="21" xfId="0" applyFont="1" applyFill="1" applyBorder="1" applyAlignment="1" applyProtection="1">
      <alignment horizontal="center" vertical="center"/>
      <protection locked="0"/>
    </xf>
    <xf numFmtId="1" fontId="18" fillId="10" borderId="0" xfId="0" applyNumberFormat="1" applyFont="1" applyFill="1" applyBorder="1" applyAlignment="1" applyProtection="1">
      <alignment horizontal="center" vertical="center"/>
      <protection locked="0"/>
    </xf>
    <xf numFmtId="1" fontId="18" fillId="10" borderId="21" xfId="0" applyNumberFormat="1" applyFont="1" applyFill="1" applyBorder="1" applyAlignment="1" applyProtection="1">
      <alignment horizontal="center" vertical="center"/>
      <protection locked="0"/>
    </xf>
    <xf numFmtId="0" fontId="18" fillId="10" borderId="2" xfId="0" applyFont="1" applyFill="1" applyBorder="1" applyAlignment="1" applyProtection="1">
      <alignment horizontal="center" vertical="center"/>
      <protection locked="0"/>
    </xf>
    <xf numFmtId="0" fontId="24" fillId="0" borderId="2" xfId="1" applyFont="1" applyFill="1" applyBorder="1" applyAlignment="1" applyProtection="1">
      <alignment horizontal="left" vertical="center" wrapText="1"/>
    </xf>
    <xf numFmtId="0" fontId="24" fillId="0" borderId="0" xfId="1" applyFont="1" applyFill="1" applyBorder="1" applyAlignment="1" applyProtection="1">
      <alignment vertical="center"/>
    </xf>
    <xf numFmtId="0" fontId="24" fillId="0" borderId="0" xfId="1" applyFont="1" applyFill="1" applyBorder="1" applyAlignment="1" applyProtection="1">
      <alignment horizontal="left" vertical="center" wrapText="1"/>
    </xf>
    <xf numFmtId="0" fontId="24" fillId="0" borderId="0" xfId="1" applyFont="1" applyFill="1" applyBorder="1" applyAlignment="1" applyProtection="1">
      <alignment horizontal="center" vertical="center"/>
    </xf>
    <xf numFmtId="0" fontId="24" fillId="0" borderId="0" xfId="1" applyFont="1" applyFill="1" applyBorder="1" applyAlignment="1" applyProtection="1">
      <alignment horizontal="left" vertical="center"/>
    </xf>
    <xf numFmtId="0" fontId="18" fillId="0" borderId="0" xfId="0" applyFont="1" applyBorder="1" applyAlignment="1" applyProtection="1">
      <alignment vertical="center" wrapText="1"/>
    </xf>
    <xf numFmtId="0" fontId="33" fillId="9" borderId="7" xfId="1" applyFont="1" applyFill="1" applyBorder="1" applyAlignment="1" applyProtection="1">
      <alignment horizontal="left" vertical="center" wrapText="1"/>
    </xf>
    <xf numFmtId="0" fontId="33" fillId="9" borderId="8" xfId="1" applyFont="1" applyFill="1" applyBorder="1" applyAlignment="1" applyProtection="1">
      <alignment horizontal="center" vertical="center" wrapText="1"/>
    </xf>
    <xf numFmtId="0" fontId="25" fillId="7" borderId="2" xfId="1" applyFont="1" applyFill="1" applyBorder="1" applyAlignment="1" applyProtection="1">
      <alignment horizontal="center" vertical="center" wrapText="1"/>
    </xf>
    <xf numFmtId="0" fontId="25" fillId="7" borderId="10" xfId="1" applyFont="1" applyFill="1" applyBorder="1" applyAlignment="1" applyProtection="1">
      <alignment horizontal="center" vertical="center" wrapText="1"/>
    </xf>
    <xf numFmtId="0" fontId="24" fillId="0" borderId="10" xfId="1" applyFont="1" applyFill="1" applyBorder="1" applyAlignment="1" applyProtection="1">
      <alignment horizontal="center" vertical="center"/>
    </xf>
    <xf numFmtId="0" fontId="24" fillId="0" borderId="13" xfId="1" applyFont="1" applyFill="1" applyBorder="1" applyAlignment="1" applyProtection="1">
      <alignment horizontal="center" vertical="center"/>
    </xf>
    <xf numFmtId="0" fontId="29" fillId="9" borderId="6" xfId="1" applyFont="1" applyFill="1" applyBorder="1" applyAlignment="1" applyProtection="1">
      <alignment horizontal="left" vertical="center"/>
    </xf>
    <xf numFmtId="0" fontId="32" fillId="9" borderId="7" xfId="1" applyFont="1" applyFill="1" applyBorder="1" applyAlignment="1" applyProtection="1">
      <alignment horizontal="left" vertical="center"/>
    </xf>
    <xf numFmtId="0" fontId="33" fillId="9" borderId="7" xfId="1" applyFont="1" applyFill="1" applyBorder="1" applyAlignment="1" applyProtection="1">
      <alignment horizontal="center" vertical="center"/>
    </xf>
    <xf numFmtId="0" fontId="33" fillId="9" borderId="8" xfId="1" applyFont="1" applyFill="1" applyBorder="1" applyAlignment="1" applyProtection="1">
      <alignment horizontal="left" vertical="center"/>
    </xf>
    <xf numFmtId="0" fontId="25" fillId="7" borderId="9" xfId="1" applyFont="1" applyFill="1" applyBorder="1" applyAlignment="1" applyProtection="1">
      <alignment horizontal="center" vertical="center" wrapText="1"/>
    </xf>
    <xf numFmtId="0" fontId="24" fillId="8" borderId="2" xfId="1" applyFont="1" applyFill="1" applyBorder="1" applyAlignment="1" applyProtection="1">
      <alignment vertical="center"/>
    </xf>
    <xf numFmtId="0" fontId="24" fillId="0" borderId="2" xfId="1" applyFont="1" applyFill="1" applyBorder="1" applyAlignment="1" applyProtection="1">
      <alignment horizontal="center" vertical="center"/>
    </xf>
    <xf numFmtId="0" fontId="24" fillId="0" borderId="10" xfId="1" applyFont="1" applyFill="1" applyBorder="1" applyAlignment="1" applyProtection="1">
      <alignment horizontal="left" vertical="center" wrapText="1"/>
    </xf>
    <xf numFmtId="0" fontId="24" fillId="8" borderId="9" xfId="1" applyFont="1" applyFill="1" applyBorder="1" applyAlignment="1" applyProtection="1">
      <alignment horizontal="left" vertical="center"/>
    </xf>
    <xf numFmtId="0" fontId="24" fillId="0" borderId="12" xfId="1" applyFont="1" applyFill="1" applyBorder="1" applyAlignment="1" applyProtection="1">
      <alignment horizontal="left" vertical="center" wrapText="1"/>
    </xf>
    <xf numFmtId="0" fontId="24" fillId="0" borderId="12" xfId="1" applyFont="1" applyFill="1" applyBorder="1" applyAlignment="1" applyProtection="1">
      <alignment horizontal="center" vertical="center"/>
    </xf>
    <xf numFmtId="0" fontId="24" fillId="0" borderId="13" xfId="1" applyFont="1" applyFill="1" applyBorder="1" applyAlignment="1" applyProtection="1">
      <alignment horizontal="left" vertical="center" wrapText="1"/>
    </xf>
    <xf numFmtId="0" fontId="24" fillId="10" borderId="9" xfId="1" applyFont="1" applyFill="1" applyBorder="1" applyAlignment="1" applyProtection="1">
      <alignment horizontal="left" vertical="center"/>
      <protection locked="0"/>
    </xf>
    <xf numFmtId="0" fontId="24" fillId="10" borderId="12" xfId="1" applyFont="1" applyFill="1" applyBorder="1" applyAlignment="1" applyProtection="1">
      <alignment horizontal="left" vertical="center"/>
      <protection locked="0"/>
    </xf>
    <xf numFmtId="0" fontId="24" fillId="10" borderId="11" xfId="1" applyFont="1" applyFill="1" applyBorder="1" applyAlignment="1" applyProtection="1">
      <alignment horizontal="left" vertical="center" wrapText="1"/>
      <protection locked="0"/>
    </xf>
    <xf numFmtId="0" fontId="32" fillId="9" borderId="2" xfId="1" applyFont="1" applyFill="1" applyBorder="1" applyAlignment="1">
      <alignment horizontal="center" vertical="center"/>
    </xf>
    <xf numFmtId="0" fontId="24" fillId="8" borderId="2" xfId="1" applyFont="1" applyFill="1" applyBorder="1" applyAlignment="1" applyProtection="1">
      <alignment vertical="center"/>
      <protection locked="0"/>
    </xf>
    <xf numFmtId="0" fontId="24" fillId="10" borderId="2" xfId="1" applyFont="1" applyFill="1" applyBorder="1" applyAlignment="1" applyProtection="1">
      <alignment vertical="center"/>
      <protection locked="0"/>
    </xf>
    <xf numFmtId="0" fontId="24" fillId="8" borderId="2" xfId="1" applyFont="1" applyFill="1" applyBorder="1" applyAlignment="1" applyProtection="1">
      <alignment vertical="center"/>
      <protection locked="0"/>
    </xf>
    <xf numFmtId="0" fontId="38" fillId="10" borderId="2" xfId="1" applyFont="1" applyFill="1" applyBorder="1" applyAlignment="1" applyProtection="1">
      <alignment vertical="center"/>
      <protection locked="0"/>
    </xf>
    <xf numFmtId="0" fontId="24" fillId="10" borderId="2" xfId="1" applyFont="1" applyFill="1" applyBorder="1" applyAlignment="1" applyProtection="1">
      <alignment vertical="center"/>
      <protection locked="0"/>
    </xf>
    <xf numFmtId="0" fontId="24" fillId="10" borderId="2" xfId="1" applyFont="1" applyFill="1" applyBorder="1" applyAlignment="1" applyProtection="1">
      <alignment horizontal="left" vertical="center"/>
      <protection locked="0"/>
    </xf>
    <xf numFmtId="0" fontId="38" fillId="10" borderId="9" xfId="4" applyFont="1" applyFill="1" applyBorder="1" applyAlignment="1" applyProtection="1">
      <alignment horizontal="center" vertical="center"/>
      <protection locked="0"/>
    </xf>
    <xf numFmtId="0" fontId="38" fillId="8" borderId="2" xfId="4" applyFont="1" applyFill="1" applyBorder="1" applyAlignment="1" applyProtection="1">
      <alignment horizontal="left" vertical="center"/>
      <protection locked="0"/>
    </xf>
    <xf numFmtId="0" fontId="38" fillId="10" borderId="2" xfId="4" applyFont="1" applyFill="1" applyBorder="1" applyAlignment="1" applyProtection="1">
      <alignment horizontal="center" vertical="center"/>
      <protection locked="0"/>
    </xf>
    <xf numFmtId="0" fontId="38" fillId="10" borderId="10" xfId="4" applyFont="1" applyFill="1" applyBorder="1" applyAlignment="1" applyProtection="1">
      <alignment horizontal="center" vertical="center"/>
      <protection locked="0"/>
    </xf>
    <xf numFmtId="0" fontId="18" fillId="10" borderId="9" xfId="4" applyFont="1" applyFill="1" applyBorder="1" applyAlignment="1" applyProtection="1">
      <alignment horizontal="center" vertical="center"/>
      <protection locked="0"/>
    </xf>
    <xf numFmtId="0" fontId="39" fillId="8" borderId="2" xfId="4" applyFont="1" applyFill="1" applyBorder="1" applyAlignment="1" applyProtection="1">
      <alignment horizontal="left" vertical="center"/>
      <protection locked="0"/>
    </xf>
    <xf numFmtId="0" fontId="18" fillId="10" borderId="2" xfId="4" applyFont="1" applyFill="1" applyBorder="1" applyAlignment="1" applyProtection="1">
      <alignment horizontal="center" vertical="center"/>
      <protection locked="0"/>
    </xf>
    <xf numFmtId="0" fontId="18" fillId="10" borderId="10" xfId="4" applyFont="1" applyFill="1" applyBorder="1" applyAlignment="1" applyProtection="1">
      <alignment horizontal="center" vertical="center"/>
      <protection locked="0"/>
    </xf>
    <xf numFmtId="0" fontId="39" fillId="10" borderId="2" xfId="4" applyFont="1" applyFill="1" applyBorder="1" applyAlignment="1" applyProtection="1">
      <alignment horizontal="center" vertical="center"/>
      <protection locked="0"/>
    </xf>
    <xf numFmtId="0" fontId="40" fillId="10" borderId="9" xfId="4" applyFont="1" applyFill="1" applyBorder="1" applyAlignment="1" applyProtection="1">
      <alignment horizontal="center" vertical="center"/>
      <protection locked="0"/>
    </xf>
    <xf numFmtId="0" fontId="40" fillId="8" borderId="2" xfId="4" applyFont="1" applyFill="1" applyBorder="1" applyAlignment="1" applyProtection="1">
      <alignment horizontal="left" vertical="center"/>
      <protection locked="0"/>
    </xf>
    <xf numFmtId="0" fontId="40" fillId="10" borderId="2" xfId="4" applyFont="1" applyFill="1" applyBorder="1" applyAlignment="1" applyProtection="1">
      <alignment horizontal="center" vertical="center"/>
      <protection locked="0"/>
    </xf>
    <xf numFmtId="0" fontId="40" fillId="10" borderId="10" xfId="4" applyFont="1" applyFill="1" applyBorder="1" applyAlignment="1" applyProtection="1">
      <alignment horizontal="center" vertical="center"/>
      <protection locked="0"/>
    </xf>
    <xf numFmtId="0" fontId="41" fillId="10" borderId="9" xfId="4" applyFont="1" applyFill="1" applyBorder="1" applyAlignment="1" applyProtection="1">
      <alignment horizontal="center" vertical="center"/>
      <protection locked="0"/>
    </xf>
    <xf numFmtId="0" fontId="41" fillId="8" borderId="2" xfId="4" applyFont="1" applyFill="1" applyBorder="1" applyAlignment="1" applyProtection="1">
      <alignment horizontal="left" vertical="center"/>
      <protection locked="0"/>
    </xf>
    <xf numFmtId="0" fontId="41" fillId="10" borderId="2" xfId="4" applyFont="1" applyFill="1" applyBorder="1" applyAlignment="1" applyProtection="1">
      <alignment horizontal="center" vertical="center"/>
      <protection locked="0"/>
    </xf>
    <xf numFmtId="0" fontId="41" fillId="8" borderId="10" xfId="4" applyFont="1" applyFill="1" applyBorder="1" applyAlignment="1" applyProtection="1">
      <alignment horizontal="center" vertical="center"/>
      <protection locked="0"/>
    </xf>
    <xf numFmtId="0" fontId="42" fillId="10" borderId="9" xfId="4" applyFont="1" applyFill="1" applyBorder="1" applyAlignment="1" applyProtection="1">
      <alignment horizontal="center" vertical="center"/>
      <protection locked="0"/>
    </xf>
    <xf numFmtId="0" fontId="42" fillId="8" borderId="2" xfId="4" applyFont="1" applyFill="1" applyBorder="1" applyAlignment="1" applyProtection="1">
      <alignment horizontal="left" vertical="center"/>
      <protection locked="0"/>
    </xf>
    <xf numFmtId="0" fontId="42" fillId="10" borderId="2" xfId="4" applyFont="1" applyFill="1" applyBorder="1" applyAlignment="1" applyProtection="1">
      <alignment horizontal="center" vertical="center"/>
      <protection locked="0"/>
    </xf>
    <xf numFmtId="0" fontId="42" fillId="8" borderId="10" xfId="4" applyFont="1" applyFill="1" applyBorder="1" applyAlignment="1" applyProtection="1">
      <alignment horizontal="center" vertical="center"/>
      <protection locked="0"/>
    </xf>
    <xf numFmtId="1" fontId="39" fillId="10" borderId="10" xfId="4" applyNumberFormat="1" applyFont="1" applyFill="1" applyBorder="1" applyAlignment="1" applyProtection="1">
      <alignment horizontal="center" vertical="center"/>
      <protection locked="0"/>
    </xf>
    <xf numFmtId="0" fontId="40" fillId="8" borderId="2" xfId="4" applyFont="1" applyFill="1" applyBorder="1" applyAlignment="1" applyProtection="1">
      <alignment vertical="center"/>
      <protection locked="0"/>
    </xf>
    <xf numFmtId="0" fontId="19" fillId="10" borderId="9" xfId="4" applyFont="1" applyFill="1" applyBorder="1" applyAlignment="1" applyProtection="1">
      <alignment horizontal="center" vertical="center"/>
      <protection locked="0"/>
    </xf>
    <xf numFmtId="0" fontId="19" fillId="10" borderId="2" xfId="4" applyFont="1" applyFill="1" applyBorder="1" applyAlignment="1" applyProtection="1">
      <alignment horizontal="center" vertical="center"/>
      <protection locked="0"/>
    </xf>
    <xf numFmtId="0" fontId="19" fillId="10" borderId="10" xfId="4" applyFont="1" applyFill="1" applyBorder="1" applyAlignment="1" applyProtection="1">
      <alignment horizontal="center" vertical="center"/>
      <protection locked="0"/>
    </xf>
    <xf numFmtId="2" fontId="38" fillId="10" borderId="9" xfId="4" applyNumberFormat="1" applyFont="1" applyFill="1" applyBorder="1" applyAlignment="1" applyProtection="1">
      <alignment horizontal="center" vertical="center"/>
      <protection locked="0"/>
    </xf>
    <xf numFmtId="2" fontId="38" fillId="10" borderId="2" xfId="4" applyNumberFormat="1" applyFont="1" applyFill="1" applyBorder="1" applyAlignment="1" applyProtection="1">
      <alignment horizontal="center" vertical="center"/>
      <protection locked="0"/>
    </xf>
    <xf numFmtId="2" fontId="38" fillId="10" borderId="10" xfId="4" applyNumberFormat="1" applyFont="1" applyFill="1" applyBorder="1" applyAlignment="1" applyProtection="1">
      <alignment horizontal="center" vertical="center"/>
      <protection locked="0"/>
    </xf>
    <xf numFmtId="2" fontId="18" fillId="10" borderId="9" xfId="4" applyNumberFormat="1" applyFont="1" applyFill="1" applyBorder="1" applyAlignment="1" applyProtection="1">
      <alignment horizontal="center" vertical="center"/>
      <protection locked="0"/>
    </xf>
    <xf numFmtId="2" fontId="18" fillId="10" borderId="2" xfId="4" applyNumberFormat="1" applyFont="1" applyFill="1" applyBorder="1" applyAlignment="1" applyProtection="1">
      <alignment horizontal="center" vertical="center"/>
      <protection locked="0"/>
    </xf>
    <xf numFmtId="2" fontId="18" fillId="10" borderId="10" xfId="4" applyNumberFormat="1" applyFont="1" applyFill="1" applyBorder="1" applyAlignment="1" applyProtection="1">
      <alignment horizontal="center" vertical="center"/>
      <protection locked="0"/>
    </xf>
    <xf numFmtId="2" fontId="18" fillId="10" borderId="11" xfId="4" applyNumberFormat="1" applyFont="1" applyFill="1" applyBorder="1" applyAlignment="1" applyProtection="1">
      <alignment horizontal="center" vertical="center"/>
      <protection locked="0"/>
    </xf>
    <xf numFmtId="2" fontId="18" fillId="10" borderId="12" xfId="4" applyNumberFormat="1" applyFont="1" applyFill="1" applyBorder="1" applyAlignment="1" applyProtection="1">
      <alignment horizontal="center" vertical="center"/>
      <protection locked="0"/>
    </xf>
    <xf numFmtId="2" fontId="18" fillId="10" borderId="13" xfId="4" applyNumberFormat="1" applyFont="1" applyFill="1" applyBorder="1" applyAlignment="1" applyProtection="1">
      <alignment horizontal="center" vertical="center"/>
      <protection locked="0"/>
    </xf>
    <xf numFmtId="49" fontId="24" fillId="10" borderId="2" xfId="1" applyNumberFormat="1" applyFont="1" applyFill="1" applyBorder="1" applyAlignment="1" applyProtection="1">
      <alignment horizontal="left" vertical="center"/>
      <protection locked="0"/>
    </xf>
    <xf numFmtId="0" fontId="42" fillId="10" borderId="11" xfId="4" applyFont="1" applyFill="1" applyBorder="1" applyAlignment="1" applyProtection="1">
      <alignment horizontal="center" vertical="center"/>
      <protection locked="0"/>
    </xf>
    <xf numFmtId="0" fontId="42" fillId="8" borderId="12" xfId="4" applyFont="1" applyFill="1" applyBorder="1" applyAlignment="1" applyProtection="1">
      <alignment horizontal="left" vertical="center"/>
      <protection locked="0"/>
    </xf>
    <xf numFmtId="0" fontId="42" fillId="10" borderId="12" xfId="4" applyFont="1" applyFill="1" applyBorder="1" applyAlignment="1" applyProtection="1">
      <alignment horizontal="center" vertical="center"/>
      <protection locked="0"/>
    </xf>
    <xf numFmtId="0" fontId="42" fillId="8" borderId="13" xfId="4" applyFont="1" applyFill="1" applyBorder="1" applyAlignment="1" applyProtection="1">
      <alignment horizontal="center" vertical="center"/>
      <protection locked="0"/>
    </xf>
    <xf numFmtId="0" fontId="33" fillId="2" borderId="0" xfId="1" applyFont="1" applyFill="1" applyBorder="1" applyAlignment="1" applyProtection="1">
      <alignment vertical="center"/>
    </xf>
    <xf numFmtId="0" fontId="44" fillId="0" borderId="0" xfId="1" applyFont="1" applyAlignment="1" applyProtection="1">
      <alignment vertical="center"/>
    </xf>
    <xf numFmtId="0" fontId="17" fillId="9" borderId="0" xfId="1" applyFont="1" applyFill="1" applyBorder="1" applyAlignment="1" applyProtection="1">
      <alignment horizontal="left" vertical="center"/>
    </xf>
    <xf numFmtId="0" fontId="32" fillId="9" borderId="0" xfId="1" applyFont="1" applyFill="1" applyBorder="1" applyAlignment="1" applyProtection="1">
      <alignment horizontal="left" vertical="center"/>
    </xf>
    <xf numFmtId="0" fontId="32" fillId="2" borderId="2" xfId="1" applyFont="1" applyFill="1" applyBorder="1" applyAlignment="1" applyProtection="1">
      <alignment vertical="center"/>
    </xf>
    <xf numFmtId="0" fontId="32" fillId="9" borderId="2" xfId="1" applyFont="1" applyFill="1" applyBorder="1" applyAlignment="1" applyProtection="1">
      <alignment horizontal="center" vertical="center"/>
    </xf>
    <xf numFmtId="0" fontId="45" fillId="0" borderId="0" xfId="1" applyFont="1" applyFill="1" applyBorder="1" applyAlignment="1" applyProtection="1">
      <alignment vertical="center"/>
    </xf>
    <xf numFmtId="0" fontId="32" fillId="2" borderId="25" xfId="1" applyFont="1" applyFill="1" applyBorder="1" applyAlignment="1" applyProtection="1">
      <alignment vertical="center"/>
    </xf>
    <xf numFmtId="43" fontId="25" fillId="10" borderId="2" xfId="2" applyFont="1" applyFill="1" applyBorder="1" applyAlignment="1" applyProtection="1">
      <alignment horizontal="center" vertical="center"/>
    </xf>
    <xf numFmtId="0" fontId="33" fillId="2" borderId="2" xfId="1" applyFont="1" applyFill="1" applyBorder="1" applyAlignment="1" applyProtection="1">
      <alignment vertical="center"/>
    </xf>
    <xf numFmtId="43" fontId="25" fillId="10" borderId="1" xfId="2" applyFont="1" applyFill="1" applyBorder="1" applyAlignment="1" applyProtection="1">
      <alignment horizontal="center" vertical="center"/>
    </xf>
    <xf numFmtId="43" fontId="25" fillId="10" borderId="42" xfId="2" applyFont="1" applyFill="1" applyBorder="1" applyAlignment="1" applyProtection="1">
      <alignment horizontal="center" vertical="center"/>
    </xf>
    <xf numFmtId="43" fontId="25" fillId="11" borderId="0" xfId="2" applyFont="1" applyFill="1" applyBorder="1" applyAlignment="1" applyProtection="1">
      <alignment horizontal="center" vertical="center"/>
    </xf>
    <xf numFmtId="0" fontId="24" fillId="11" borderId="0" xfId="1" applyFont="1" applyFill="1" applyBorder="1" applyAlignment="1" applyProtection="1">
      <alignment horizontal="left" vertical="center"/>
    </xf>
    <xf numFmtId="0" fontId="32" fillId="2" borderId="0" xfId="1" applyFont="1" applyFill="1" applyBorder="1" applyAlignment="1" applyProtection="1">
      <alignment horizontal="left" vertical="center"/>
    </xf>
    <xf numFmtId="0" fontId="32" fillId="15" borderId="0" xfId="1" applyFont="1" applyFill="1" applyBorder="1" applyAlignment="1" applyProtection="1">
      <alignment horizontal="left" vertical="center"/>
    </xf>
    <xf numFmtId="0" fontId="24" fillId="15" borderId="0" xfId="1" applyFont="1" applyFill="1" applyBorder="1" applyAlignment="1" applyProtection="1">
      <alignment horizontal="left" vertical="center"/>
    </xf>
    <xf numFmtId="0" fontId="24" fillId="15" borderId="0" xfId="1" applyFont="1" applyFill="1" applyBorder="1" applyAlignment="1" applyProtection="1">
      <alignment vertical="center"/>
    </xf>
    <xf numFmtId="0" fontId="32" fillId="11" borderId="0" xfId="1" applyFont="1" applyFill="1" applyBorder="1" applyAlignment="1" applyProtection="1">
      <alignment horizontal="left" vertical="center"/>
    </xf>
    <xf numFmtId="0" fontId="24" fillId="11" borderId="0" xfId="1" applyFont="1" applyFill="1" applyBorder="1" applyAlignment="1" applyProtection="1">
      <alignment vertical="center"/>
    </xf>
    <xf numFmtId="0" fontId="32" fillId="2" borderId="2" xfId="1" applyFont="1" applyFill="1" applyBorder="1" applyAlignment="1" applyProtection="1">
      <alignment horizontal="left" vertical="center"/>
    </xf>
    <xf numFmtId="0" fontId="33" fillId="11" borderId="0" xfId="1" applyFont="1" applyFill="1" applyBorder="1" applyAlignment="1" applyProtection="1">
      <alignment vertical="center"/>
    </xf>
    <xf numFmtId="43" fontId="24" fillId="0" borderId="0" xfId="2" applyFont="1" applyFill="1" applyBorder="1" applyAlignment="1" applyProtection="1">
      <alignment horizontal="center" vertical="center"/>
    </xf>
    <xf numFmtId="0" fontId="33" fillId="0" borderId="0" xfId="1" applyFont="1" applyFill="1" applyBorder="1" applyAlignment="1" applyProtection="1">
      <alignment vertical="center"/>
    </xf>
    <xf numFmtId="0" fontId="33" fillId="0" borderId="0" xfId="1" applyFont="1" applyFill="1" applyBorder="1" applyAlignment="1" applyProtection="1">
      <alignment horizontal="left" vertical="center"/>
    </xf>
    <xf numFmtId="0" fontId="33" fillId="2" borderId="2" xfId="1" applyFont="1" applyFill="1" applyBorder="1" applyAlignment="1" applyProtection="1">
      <alignment horizontal="left" vertical="center"/>
    </xf>
    <xf numFmtId="1" fontId="33" fillId="0" borderId="0" xfId="1" applyNumberFormat="1" applyFont="1" applyFill="1" applyBorder="1" applyAlignment="1" applyProtection="1">
      <alignment horizontal="left" vertical="center"/>
    </xf>
    <xf numFmtId="0" fontId="49" fillId="0" borderId="0" xfId="0" applyFont="1" applyFill="1" applyBorder="1" applyAlignment="1" applyProtection="1">
      <alignment horizontal="left" vertical="center"/>
    </xf>
    <xf numFmtId="0" fontId="32" fillId="0" borderId="0" xfId="1" applyFont="1" applyFill="1" applyBorder="1" applyAlignment="1" applyProtection="1">
      <alignment vertical="center"/>
    </xf>
    <xf numFmtId="0" fontId="32" fillId="0" borderId="0" xfId="1" applyFont="1" applyFill="1" applyBorder="1" applyAlignment="1" applyProtection="1">
      <alignment horizontal="center" vertical="center"/>
    </xf>
    <xf numFmtId="0" fontId="24" fillId="0" borderId="0" xfId="1" applyFont="1" applyAlignment="1" applyProtection="1">
      <alignment vertical="center"/>
    </xf>
    <xf numFmtId="0" fontId="50" fillId="16" borderId="2" xfId="0" applyFont="1" applyFill="1" applyBorder="1" applyAlignment="1" applyProtection="1">
      <alignment vertical="center"/>
    </xf>
    <xf numFmtId="0" fontId="51" fillId="16" borderId="14" xfId="0" applyFont="1" applyFill="1" applyBorder="1" applyAlignment="1" applyProtection="1">
      <alignment vertical="center"/>
    </xf>
    <xf numFmtId="0" fontId="46" fillId="10" borderId="2" xfId="1" applyFont="1" applyFill="1" applyBorder="1" applyAlignment="1" applyProtection="1">
      <alignment vertical="center"/>
      <protection locked="0"/>
    </xf>
    <xf numFmtId="0" fontId="47" fillId="10" borderId="2" xfId="1" applyFont="1" applyFill="1" applyBorder="1" applyAlignment="1" applyProtection="1">
      <alignment vertical="center"/>
      <protection locked="0"/>
    </xf>
    <xf numFmtId="0" fontId="48" fillId="10" borderId="2" xfId="1" applyFont="1" applyFill="1" applyBorder="1" applyAlignment="1" applyProtection="1">
      <alignment vertical="center"/>
      <protection locked="0"/>
    </xf>
    <xf numFmtId="0" fontId="24" fillId="8" borderId="27" xfId="1" applyFont="1" applyFill="1" applyBorder="1" applyAlignment="1" applyProtection="1">
      <alignment horizontal="left" vertical="center"/>
      <protection locked="0"/>
    </xf>
    <xf numFmtId="0" fontId="18" fillId="10" borderId="2" xfId="1" applyFont="1" applyFill="1" applyBorder="1" applyAlignment="1" applyProtection="1">
      <alignment vertical="center"/>
      <protection locked="0"/>
    </xf>
    <xf numFmtId="0" fontId="55" fillId="19" borderId="0" xfId="0" applyFont="1" applyFill="1" applyBorder="1" applyAlignment="1">
      <alignment vertical="center"/>
    </xf>
    <xf numFmtId="0" fontId="17" fillId="9" borderId="0" xfId="0" applyFont="1" applyFill="1" applyAlignment="1">
      <alignment horizontal="left" vertical="center"/>
    </xf>
    <xf numFmtId="0" fontId="24" fillId="10" borderId="2" xfId="1" applyFont="1" applyFill="1" applyBorder="1" applyAlignment="1" applyProtection="1">
      <alignment vertical="center"/>
      <protection locked="0"/>
    </xf>
    <xf numFmtId="0" fontId="32" fillId="9" borderId="2" xfId="1" applyFont="1" applyFill="1" applyBorder="1" applyAlignment="1">
      <alignment horizontal="center" vertical="center"/>
    </xf>
    <xf numFmtId="0" fontId="32" fillId="2" borderId="19" xfId="1" applyFont="1" applyFill="1" applyBorder="1" applyAlignment="1">
      <alignment vertical="center"/>
    </xf>
    <xf numFmtId="0" fontId="33" fillId="2" borderId="19" xfId="1" applyFont="1" applyFill="1" applyBorder="1" applyAlignment="1">
      <alignment vertical="center"/>
    </xf>
    <xf numFmtId="0" fontId="0" fillId="0" borderId="0" xfId="0" applyBorder="1" applyAlignment="1">
      <alignment vertical="center"/>
    </xf>
    <xf numFmtId="0" fontId="0" fillId="0" borderId="0" xfId="0" applyBorder="1" applyAlignment="1" applyProtection="1">
      <alignment vertical="center"/>
      <protection locked="0"/>
    </xf>
    <xf numFmtId="0" fontId="18" fillId="11" borderId="0" xfId="0" applyFont="1" applyFill="1" applyAlignment="1" applyProtection="1">
      <alignment vertical="center"/>
    </xf>
    <xf numFmtId="0" fontId="18" fillId="0" borderId="0" xfId="0" applyFont="1" applyAlignment="1" applyProtection="1">
      <alignment vertical="center"/>
    </xf>
    <xf numFmtId="15" fontId="0" fillId="0" borderId="0" xfId="0" applyNumberFormat="1" applyAlignment="1">
      <alignment horizontal="center" vertical="center"/>
    </xf>
    <xf numFmtId="0" fontId="18" fillId="11" borderId="0" xfId="0" applyFont="1" applyFill="1" applyAlignment="1" applyProtection="1">
      <alignment wrapText="1"/>
    </xf>
    <xf numFmtId="0" fontId="18" fillId="11" borderId="0" xfId="0" applyFont="1" applyFill="1" applyAlignment="1" applyProtection="1">
      <alignment vertical="center" wrapText="1"/>
    </xf>
    <xf numFmtId="0" fontId="22" fillId="11" borderId="0" xfId="1" applyFont="1" applyFill="1" applyBorder="1" applyAlignment="1" applyProtection="1">
      <alignment horizontal="left"/>
    </xf>
    <xf numFmtId="0" fontId="25" fillId="11" borderId="0" xfId="3" applyFont="1" applyFill="1" applyBorder="1" applyAlignment="1" applyProtection="1">
      <alignment vertical="center" wrapText="1"/>
    </xf>
    <xf numFmtId="0" fontId="0" fillId="11" borderId="0" xfId="0" applyFill="1" applyBorder="1" applyAlignment="1" applyProtection="1">
      <alignment wrapText="1"/>
    </xf>
    <xf numFmtId="0" fontId="18" fillId="11" borderId="0" xfId="0" applyFont="1" applyFill="1" applyBorder="1" applyAlignment="1" applyProtection="1">
      <alignment wrapText="1"/>
    </xf>
    <xf numFmtId="0" fontId="20" fillId="11" borderId="0" xfId="0" applyFont="1" applyFill="1" applyBorder="1" applyAlignment="1" applyProtection="1">
      <alignment wrapText="1"/>
    </xf>
    <xf numFmtId="0" fontId="18" fillId="3" borderId="19" xfId="0" applyFont="1" applyFill="1" applyBorder="1" applyAlignment="1" applyProtection="1">
      <alignment horizontal="center" vertical="center"/>
    </xf>
    <xf numFmtId="0" fontId="18" fillId="8" borderId="25" xfId="0" applyFont="1" applyFill="1" applyBorder="1" applyAlignment="1" applyProtection="1">
      <alignment horizontal="center" vertical="center"/>
    </xf>
    <xf numFmtId="0" fontId="19" fillId="14" borderId="3" xfId="0" applyFont="1" applyFill="1" applyBorder="1" applyAlignment="1" applyProtection="1">
      <alignment vertical="center"/>
    </xf>
    <xf numFmtId="0" fontId="18" fillId="14" borderId="4" xfId="0" applyFont="1" applyFill="1" applyBorder="1" applyAlignment="1" applyProtection="1">
      <alignment vertical="center"/>
    </xf>
    <xf numFmtId="0" fontId="18" fillId="14" borderId="5" xfId="0" applyFont="1" applyFill="1" applyBorder="1" applyAlignment="1" applyProtection="1">
      <alignment vertical="center"/>
    </xf>
    <xf numFmtId="0" fontId="26" fillId="14" borderId="0" xfId="0" applyFont="1" applyFill="1" applyAlignment="1" applyProtection="1">
      <alignment horizontal="left" vertical="center" wrapText="1"/>
    </xf>
    <xf numFmtId="0" fontId="27" fillId="0" borderId="0" xfId="0" applyFont="1" applyAlignment="1" applyProtection="1">
      <alignment horizontal="left" vertical="center" wrapText="1"/>
    </xf>
    <xf numFmtId="0" fontId="19" fillId="14" borderId="0" xfId="0" applyFont="1" applyFill="1" applyAlignment="1" applyProtection="1">
      <alignment horizontal="center" vertical="center"/>
    </xf>
    <xf numFmtId="0" fontId="18" fillId="14" borderId="0" xfId="0" applyFont="1" applyFill="1" applyAlignment="1" applyProtection="1">
      <alignment horizontal="center" vertical="center"/>
    </xf>
    <xf numFmtId="0" fontId="18" fillId="14" borderId="0" xfId="0" applyFont="1" applyFill="1" applyAlignment="1" applyProtection="1">
      <alignment vertical="center"/>
    </xf>
    <xf numFmtId="0" fontId="18" fillId="11" borderId="18" xfId="0" applyFont="1" applyFill="1" applyBorder="1" applyAlignment="1" applyProtection="1">
      <alignment horizontal="right" vertical="center"/>
    </xf>
    <xf numFmtId="0" fontId="18" fillId="11" borderId="0" xfId="0" applyFont="1" applyFill="1" applyAlignment="1" applyProtection="1">
      <alignment vertical="center"/>
    </xf>
    <xf numFmtId="0" fontId="18" fillId="11" borderId="22" xfId="0" applyFont="1" applyFill="1" applyBorder="1" applyAlignment="1" applyProtection="1">
      <alignment horizontal="right" vertical="center"/>
    </xf>
    <xf numFmtId="0" fontId="18" fillId="11" borderId="20" xfId="0" applyFont="1" applyFill="1" applyBorder="1" applyAlignment="1" applyProtection="1">
      <alignment vertical="center"/>
    </xf>
    <xf numFmtId="0" fontId="25" fillId="8" borderId="15" xfId="3" applyFont="1" applyFill="1" applyBorder="1" applyAlignment="1" applyProtection="1">
      <alignment vertical="center" wrapText="1"/>
    </xf>
    <xf numFmtId="0" fontId="0" fillId="8" borderId="16" xfId="0" applyFill="1" applyBorder="1" applyAlignment="1">
      <alignment wrapText="1"/>
    </xf>
    <xf numFmtId="0" fontId="0" fillId="8" borderId="17" xfId="0" applyFill="1" applyBorder="1" applyAlignment="1">
      <alignment wrapText="1"/>
    </xf>
    <xf numFmtId="0" fontId="18" fillId="10" borderId="25" xfId="0" applyFont="1" applyFill="1" applyBorder="1" applyAlignment="1" applyProtection="1">
      <alignment horizontal="center" vertical="center"/>
      <protection locked="0"/>
    </xf>
    <xf numFmtId="0" fontId="18" fillId="0" borderId="26" xfId="0" applyFont="1" applyBorder="1" applyAlignment="1" applyProtection="1">
      <alignment horizontal="center" vertical="center"/>
      <protection locked="0"/>
    </xf>
    <xf numFmtId="0" fontId="18" fillId="0" borderId="14" xfId="0" applyFont="1" applyBorder="1" applyAlignment="1" applyProtection="1">
      <alignment horizontal="center" vertical="center"/>
      <protection locked="0"/>
    </xf>
    <xf numFmtId="0" fontId="18" fillId="8" borderId="2" xfId="0" applyFont="1" applyFill="1" applyBorder="1" applyAlignment="1" applyProtection="1">
      <alignment horizontal="center" vertical="center"/>
    </xf>
    <xf numFmtId="0" fontId="0" fillId="0" borderId="16" xfId="0" applyBorder="1" applyAlignment="1" applyProtection="1">
      <alignment wrapText="1"/>
    </xf>
    <xf numFmtId="0" fontId="0" fillId="0" borderId="17" xfId="0" applyBorder="1" applyAlignment="1" applyProtection="1">
      <alignment wrapText="1"/>
    </xf>
    <xf numFmtId="0" fontId="29" fillId="9" borderId="6" xfId="1" applyFont="1" applyFill="1" applyBorder="1" applyAlignment="1" applyProtection="1">
      <alignment horizontal="left" vertical="center" wrapText="1"/>
    </xf>
    <xf numFmtId="0" fontId="34" fillId="0" borderId="7" xfId="0" applyFont="1" applyBorder="1" applyAlignment="1" applyProtection="1">
      <alignment horizontal="left" vertical="center"/>
    </xf>
    <xf numFmtId="0" fontId="25" fillId="7" borderId="9" xfId="1" applyFont="1" applyFill="1" applyBorder="1" applyAlignment="1" applyProtection="1">
      <alignment horizontal="center" vertical="center" wrapText="1"/>
    </xf>
    <xf numFmtId="0" fontId="18" fillId="0" borderId="2" xfId="0" applyFont="1" applyBorder="1" applyAlignment="1" applyProtection="1">
      <alignment vertical="center"/>
    </xf>
    <xf numFmtId="0" fontId="24" fillId="10" borderId="9" xfId="1" applyFont="1" applyFill="1" applyBorder="1" applyAlignment="1" applyProtection="1">
      <alignment horizontal="left" vertical="center"/>
      <protection locked="0"/>
    </xf>
    <xf numFmtId="0" fontId="18" fillId="0" borderId="2" xfId="0" applyFont="1" applyBorder="1" applyAlignment="1" applyProtection="1">
      <alignment horizontal="left" vertical="center"/>
      <protection locked="0"/>
    </xf>
    <xf numFmtId="0" fontId="24" fillId="10" borderId="11" xfId="1" applyFont="1" applyFill="1" applyBorder="1" applyAlignment="1" applyProtection="1">
      <alignment horizontal="left" vertical="center"/>
      <protection locked="0"/>
    </xf>
    <xf numFmtId="0" fontId="18" fillId="0" borderId="12" xfId="0" applyFont="1" applyBorder="1" applyAlignment="1" applyProtection="1">
      <alignment horizontal="left" vertical="center"/>
      <protection locked="0"/>
    </xf>
    <xf numFmtId="0" fontId="35" fillId="12" borderId="9" xfId="1" applyFont="1" applyFill="1" applyBorder="1" applyAlignment="1" applyProtection="1">
      <alignment horizontal="left" vertical="center" wrapText="1"/>
    </xf>
    <xf numFmtId="0" fontId="35" fillId="12" borderId="2" xfId="1" applyFont="1" applyFill="1" applyBorder="1" applyAlignment="1" applyProtection="1">
      <alignment horizontal="left" vertical="center" wrapText="1"/>
    </xf>
    <xf numFmtId="0" fontId="35" fillId="12" borderId="10" xfId="1" applyFont="1" applyFill="1" applyBorder="1" applyAlignment="1" applyProtection="1">
      <alignment horizontal="left" vertical="center" wrapText="1"/>
    </xf>
    <xf numFmtId="0" fontId="23" fillId="8" borderId="15" xfId="3" applyFont="1" applyFill="1" applyBorder="1" applyAlignment="1" applyProtection="1">
      <alignment vertical="center" wrapText="1"/>
    </xf>
    <xf numFmtId="0" fontId="20" fillId="0" borderId="16" xfId="0" applyFont="1" applyBorder="1" applyAlignment="1"/>
    <xf numFmtId="0" fontId="20" fillId="0" borderId="17" xfId="0" applyFont="1" applyBorder="1" applyAlignment="1"/>
    <xf numFmtId="0" fontId="55" fillId="9" borderId="6" xfId="4" applyFont="1" applyFill="1" applyBorder="1" applyAlignment="1">
      <alignment horizontal="center" vertical="center"/>
    </xf>
    <xf numFmtId="0" fontId="27" fillId="0" borderId="7" xfId="0" applyFont="1" applyBorder="1" applyAlignment="1">
      <alignment horizontal="center" vertical="center"/>
    </xf>
    <xf numFmtId="0" fontId="27" fillId="0" borderId="8" xfId="0" applyFont="1" applyBorder="1" applyAlignment="1">
      <alignment horizontal="center" vertical="center"/>
    </xf>
    <xf numFmtId="0" fontId="55" fillId="9" borderId="6" xfId="4" applyFont="1"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2" fontId="55" fillId="9" borderId="6" xfId="4" applyNumberFormat="1" applyFont="1" applyFill="1" applyBorder="1" applyAlignment="1">
      <alignment vertical="center"/>
    </xf>
    <xf numFmtId="0" fontId="24" fillId="8" borderId="2" xfId="1" applyFont="1" applyFill="1" applyBorder="1" applyAlignment="1" applyProtection="1">
      <alignment vertical="center"/>
      <protection locked="0"/>
    </xf>
    <xf numFmtId="0" fontId="18" fillId="8" borderId="2" xfId="0" applyFont="1" applyFill="1" applyBorder="1" applyAlignment="1" applyProtection="1">
      <alignment vertical="center"/>
      <protection locked="0"/>
    </xf>
    <xf numFmtId="0" fontId="49" fillId="10" borderId="19" xfId="1" applyFont="1" applyFill="1" applyBorder="1" applyAlignment="1" applyProtection="1">
      <alignment horizontal="left" vertical="center"/>
      <protection locked="0"/>
    </xf>
    <xf numFmtId="0" fontId="49" fillId="10" borderId="27" xfId="1" applyFont="1" applyFill="1" applyBorder="1" applyAlignment="1" applyProtection="1">
      <alignment horizontal="left" vertical="center"/>
      <protection locked="0"/>
    </xf>
    <xf numFmtId="0" fontId="32" fillId="9" borderId="19" xfId="1" applyFont="1" applyFill="1" applyBorder="1" applyAlignment="1" applyProtection="1">
      <alignment horizontal="center" vertical="center"/>
    </xf>
    <xf numFmtId="0" fontId="18" fillId="0" borderId="27" xfId="0" applyFont="1" applyBorder="1" applyAlignment="1" applyProtection="1">
      <alignment horizontal="center" vertical="center"/>
    </xf>
    <xf numFmtId="0" fontId="32" fillId="9" borderId="2" xfId="1" applyFont="1" applyFill="1" applyBorder="1" applyAlignment="1" applyProtection="1">
      <alignment horizontal="center" vertical="center"/>
    </xf>
    <xf numFmtId="0" fontId="24" fillId="10" borderId="2" xfId="1" applyFont="1" applyFill="1" applyBorder="1" applyAlignment="1" applyProtection="1">
      <alignment vertical="center"/>
      <protection locked="0"/>
    </xf>
    <xf numFmtId="0" fontId="18" fillId="0" borderId="2" xfId="0" applyFont="1" applyBorder="1" applyAlignment="1" applyProtection="1">
      <alignment vertical="center"/>
      <protection locked="0"/>
    </xf>
    <xf numFmtId="0" fontId="38" fillId="10" borderId="2" xfId="1" applyFont="1" applyFill="1" applyBorder="1" applyAlignment="1" applyProtection="1">
      <alignment vertical="center"/>
      <protection locked="0"/>
    </xf>
    <xf numFmtId="0" fontId="38" fillId="0" borderId="2" xfId="0" applyFont="1" applyBorder="1" applyAlignment="1" applyProtection="1">
      <alignment vertical="center"/>
      <protection locked="0"/>
    </xf>
    <xf numFmtId="0" fontId="49" fillId="10" borderId="2" xfId="1" applyFont="1" applyFill="1" applyBorder="1" applyAlignment="1" applyProtection="1">
      <alignment horizontal="left" vertical="center"/>
      <protection locked="0"/>
    </xf>
    <xf numFmtId="0" fontId="49" fillId="0" borderId="2" xfId="0" applyFont="1" applyBorder="1" applyAlignment="1" applyProtection="1">
      <alignment horizontal="left" vertical="center"/>
      <protection locked="0"/>
    </xf>
    <xf numFmtId="0" fontId="24" fillId="10" borderId="19" xfId="1" applyFont="1" applyFill="1" applyBorder="1" applyAlignment="1" applyProtection="1">
      <alignment horizontal="left" vertical="center"/>
      <protection locked="0"/>
    </xf>
    <xf numFmtId="0" fontId="24" fillId="0" borderId="27" xfId="0" applyFont="1" applyBorder="1" applyAlignment="1" applyProtection="1">
      <alignment horizontal="left" vertical="center"/>
      <protection locked="0"/>
    </xf>
    <xf numFmtId="0" fontId="18" fillId="0" borderId="27" xfId="0" applyFont="1" applyBorder="1" applyAlignment="1" applyProtection="1">
      <alignment horizontal="left" vertical="center"/>
      <protection locked="0"/>
    </xf>
    <xf numFmtId="0" fontId="41" fillId="10" borderId="19" xfId="1" applyFont="1" applyFill="1" applyBorder="1" applyAlignment="1" applyProtection="1">
      <alignment horizontal="left" vertical="center"/>
      <protection locked="0"/>
    </xf>
    <xf numFmtId="0" fontId="42" fillId="10" borderId="19" xfId="1" applyFont="1" applyFill="1" applyBorder="1" applyAlignment="1" applyProtection="1">
      <alignment horizontal="left" vertical="center"/>
      <protection locked="0"/>
    </xf>
    <xf numFmtId="0" fontId="18" fillId="10" borderId="2" xfId="0" applyFont="1" applyFill="1" applyBorder="1" applyAlignment="1" applyProtection="1">
      <alignment vertical="center"/>
      <protection locked="0"/>
    </xf>
    <xf numFmtId="0" fontId="24" fillId="10" borderId="2" xfId="1" applyFont="1" applyFill="1" applyBorder="1" applyAlignment="1" applyProtection="1">
      <alignment horizontal="left" vertical="center"/>
      <protection locked="0"/>
    </xf>
    <xf numFmtId="0" fontId="24" fillId="10" borderId="19" xfId="1" applyFont="1" applyFill="1" applyBorder="1" applyAlignment="1" applyProtection="1">
      <alignment vertical="center"/>
      <protection locked="0"/>
    </xf>
    <xf numFmtId="0" fontId="18" fillId="0" borderId="27" xfId="0" applyFont="1" applyBorder="1" applyAlignment="1" applyProtection="1">
      <alignment vertical="center"/>
      <protection locked="0"/>
    </xf>
    <xf numFmtId="0" fontId="24" fillId="8" borderId="19" xfId="1" applyFont="1" applyFill="1" applyBorder="1" applyAlignment="1" applyProtection="1">
      <alignment horizontal="left" vertical="center"/>
      <protection locked="0"/>
    </xf>
    <xf numFmtId="0" fontId="18" fillId="8" borderId="27" xfId="0" applyFont="1" applyFill="1" applyBorder="1" applyAlignment="1" applyProtection="1">
      <alignment horizontal="left" vertical="center"/>
      <protection locked="0"/>
    </xf>
    <xf numFmtId="0" fontId="24" fillId="8" borderId="25" xfId="1" applyFont="1" applyFill="1" applyBorder="1" applyAlignment="1" applyProtection="1">
      <alignment vertical="center"/>
    </xf>
    <xf numFmtId="0" fontId="0" fillId="0" borderId="14" xfId="0" applyBorder="1" applyAlignment="1" applyProtection="1">
      <alignment vertical="center"/>
    </xf>
    <xf numFmtId="0" fontId="32" fillId="9" borderId="27" xfId="1" applyFont="1" applyFill="1" applyBorder="1" applyAlignment="1" applyProtection="1">
      <alignment horizontal="center" vertical="center"/>
    </xf>
    <xf numFmtId="0" fontId="24" fillId="8" borderId="2" xfId="3" applyFont="1" applyFill="1" applyBorder="1" applyAlignment="1" applyProtection="1">
      <alignment vertical="center"/>
      <protection locked="0"/>
    </xf>
    <xf numFmtId="0" fontId="24" fillId="8" borderId="2" xfId="0" applyFont="1" applyFill="1" applyBorder="1" applyAlignment="1" applyProtection="1">
      <alignment vertical="center"/>
      <protection locked="0"/>
    </xf>
    <xf numFmtId="0" fontId="18" fillId="8" borderId="16" xfId="0" applyFont="1" applyFill="1" applyBorder="1" applyAlignment="1" applyProtection="1">
      <alignment vertical="center" wrapText="1"/>
    </xf>
    <xf numFmtId="0" fontId="18" fillId="0" borderId="16" xfId="0" applyFont="1" applyBorder="1" applyAlignment="1" applyProtection="1">
      <alignment vertical="center"/>
    </xf>
    <xf numFmtId="0" fontId="18" fillId="0" borderId="17" xfId="0" applyFont="1" applyBorder="1" applyAlignment="1" applyProtection="1">
      <alignment vertical="center"/>
    </xf>
    <xf numFmtId="0" fontId="32" fillId="9" borderId="28" xfId="1" applyFont="1" applyFill="1" applyBorder="1" applyAlignment="1" applyProtection="1">
      <alignment horizontal="center" vertical="center"/>
    </xf>
    <xf numFmtId="0" fontId="18" fillId="0" borderId="0" xfId="0" applyFont="1" applyAlignment="1" applyProtection="1">
      <alignment vertical="center"/>
    </xf>
    <xf numFmtId="0" fontId="24" fillId="8" borderId="19" xfId="1" applyFont="1" applyFill="1" applyBorder="1" applyAlignment="1" applyProtection="1">
      <alignment vertical="center"/>
      <protection locked="0"/>
    </xf>
    <xf numFmtId="0" fontId="18" fillId="8" borderId="27" xfId="0" applyFont="1" applyFill="1" applyBorder="1" applyAlignment="1" applyProtection="1">
      <alignment vertical="center"/>
      <protection locked="0"/>
    </xf>
    <xf numFmtId="49" fontId="24" fillId="10" borderId="2" xfId="1" applyNumberFormat="1" applyFont="1" applyFill="1" applyBorder="1" applyAlignment="1" applyProtection="1">
      <alignment vertical="center"/>
      <protection locked="0"/>
    </xf>
    <xf numFmtId="49" fontId="18" fillId="10" borderId="2" xfId="0" applyNumberFormat="1"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2" xfId="0" applyBorder="1" applyAlignment="1" applyProtection="1">
      <alignment horizontal="left" vertical="center"/>
      <protection locked="0"/>
    </xf>
    <xf numFmtId="0" fontId="24" fillId="10" borderId="2" xfId="3" applyFont="1" applyFill="1" applyBorder="1" applyAlignment="1" applyProtection="1">
      <alignment vertical="center"/>
      <protection locked="0"/>
    </xf>
    <xf numFmtId="0" fontId="24" fillId="0" borderId="2" xfId="0" applyFont="1" applyBorder="1" applyAlignment="1" applyProtection="1">
      <alignment vertical="center"/>
      <protection locked="0"/>
    </xf>
    <xf numFmtId="0" fontId="0" fillId="0" borderId="14" xfId="0" applyBorder="1" applyAlignment="1">
      <alignment vertical="center"/>
    </xf>
    <xf numFmtId="0" fontId="49" fillId="10" borderId="19" xfId="4" applyFont="1" applyFill="1" applyBorder="1" applyAlignment="1" applyProtection="1">
      <alignment horizontal="left" vertical="center"/>
      <protection locked="0"/>
    </xf>
    <xf numFmtId="0" fontId="24" fillId="8" borderId="27" xfId="1" applyFont="1" applyFill="1" applyBorder="1" applyAlignment="1" applyProtection="1">
      <alignment horizontal="left" vertical="center"/>
      <protection locked="0"/>
    </xf>
    <xf numFmtId="0" fontId="24" fillId="10" borderId="2" xfId="3" applyFont="1" applyFill="1" applyBorder="1" applyAlignment="1" applyProtection="1">
      <alignment horizontal="left" vertical="center"/>
      <protection locked="0"/>
    </xf>
    <xf numFmtId="0" fontId="24" fillId="0" borderId="2" xfId="0" applyFont="1" applyBorder="1" applyAlignment="1" applyProtection="1">
      <alignment horizontal="left" vertical="center"/>
      <protection locked="0"/>
    </xf>
    <xf numFmtId="0" fontId="24" fillId="8" borderId="2" xfId="3" applyFont="1" applyFill="1" applyBorder="1" applyAlignment="1" applyProtection="1">
      <alignment horizontal="left" vertical="center"/>
      <protection locked="0"/>
    </xf>
    <xf numFmtId="0" fontId="24" fillId="8" borderId="2" xfId="0" applyFont="1" applyFill="1" applyBorder="1" applyAlignment="1" applyProtection="1">
      <alignment horizontal="left" vertical="center"/>
      <protection locked="0"/>
    </xf>
    <xf numFmtId="49" fontId="24" fillId="10" borderId="19" xfId="1" applyNumberFormat="1" applyFont="1" applyFill="1" applyBorder="1" applyAlignment="1" applyProtection="1">
      <alignment horizontal="left" vertical="center"/>
      <protection locked="0"/>
    </xf>
    <xf numFmtId="0" fontId="18" fillId="0" borderId="27" xfId="0" applyFont="1" applyBorder="1" applyAlignment="1" applyProtection="1">
      <alignment vertical="center"/>
    </xf>
    <xf numFmtId="0" fontId="18" fillId="10" borderId="2" xfId="0" applyFont="1" applyFill="1" applyBorder="1" applyAlignment="1" applyProtection="1">
      <alignment horizontal="left" vertical="center"/>
      <protection locked="0"/>
    </xf>
    <xf numFmtId="0" fontId="24" fillId="10" borderId="2" xfId="0" applyFont="1" applyFill="1" applyBorder="1" applyAlignment="1" applyProtection="1">
      <alignment horizontal="left" vertical="center"/>
      <protection locked="0"/>
    </xf>
    <xf numFmtId="0" fontId="19" fillId="0" borderId="2" xfId="0" applyFont="1" applyBorder="1" applyAlignment="1" applyProtection="1">
      <alignment vertical="center"/>
    </xf>
    <xf numFmtId="0" fontId="24" fillId="8" borderId="19" xfId="1" applyFont="1" applyFill="1" applyBorder="1" applyAlignment="1" applyProtection="1">
      <alignment horizontal="left" vertical="center"/>
    </xf>
    <xf numFmtId="0" fontId="18" fillId="8" borderId="27" xfId="0" applyFont="1" applyFill="1" applyBorder="1" applyAlignment="1" applyProtection="1">
      <alignment horizontal="left" vertical="center"/>
    </xf>
    <xf numFmtId="0" fontId="19" fillId="10" borderId="19" xfId="1" applyFont="1" applyFill="1" applyBorder="1" applyAlignment="1" applyProtection="1">
      <alignment vertical="center"/>
      <protection locked="0"/>
    </xf>
    <xf numFmtId="0" fontId="19" fillId="0" borderId="27" xfId="0" applyFont="1" applyBorder="1" applyAlignment="1" applyProtection="1">
      <alignment vertical="center"/>
      <protection locked="0"/>
    </xf>
    <xf numFmtId="0" fontId="0" fillId="0" borderId="27" xfId="0" applyBorder="1" applyAlignment="1" applyProtection="1">
      <alignment vertical="center"/>
      <protection locked="0"/>
    </xf>
    <xf numFmtId="0" fontId="48" fillId="10" borderId="2" xfId="1" applyFont="1" applyFill="1" applyBorder="1" applyAlignment="1" applyProtection="1">
      <alignment vertical="center"/>
      <protection locked="0"/>
    </xf>
    <xf numFmtId="0" fontId="18" fillId="10" borderId="19" xfId="1" applyFont="1" applyFill="1" applyBorder="1" applyAlignment="1" applyProtection="1">
      <alignment vertical="center"/>
      <protection locked="0"/>
    </xf>
    <xf numFmtId="0" fontId="24" fillId="8" borderId="19" xfId="3" applyFont="1" applyFill="1" applyBorder="1" applyAlignment="1" applyProtection="1">
      <alignment horizontal="left" vertical="center"/>
      <protection locked="0"/>
    </xf>
    <xf numFmtId="0" fontId="24" fillId="8" borderId="27" xfId="3" applyFont="1" applyFill="1" applyBorder="1" applyAlignment="1" applyProtection="1">
      <alignment horizontal="left" vertical="center"/>
      <protection locked="0"/>
    </xf>
    <xf numFmtId="0" fontId="50" fillId="17" borderId="19" xfId="0" applyFont="1" applyFill="1" applyBorder="1" applyAlignment="1" applyProtection="1">
      <alignment horizontal="center" vertical="center"/>
    </xf>
    <xf numFmtId="0" fontId="50" fillId="17" borderId="27" xfId="0" applyFont="1" applyFill="1" applyBorder="1" applyAlignment="1" applyProtection="1">
      <alignment horizontal="center" vertical="center"/>
    </xf>
    <xf numFmtId="0" fontId="24" fillId="18" borderId="19" xfId="0" applyFont="1" applyFill="1" applyBorder="1" applyAlignment="1" applyProtection="1">
      <alignment vertical="center"/>
      <protection locked="0"/>
    </xf>
    <xf numFmtId="0" fontId="24" fillId="18" borderId="31" xfId="0" applyFont="1" applyFill="1" applyBorder="1" applyAlignment="1" applyProtection="1">
      <alignment vertical="center"/>
      <protection locked="0"/>
    </xf>
    <xf numFmtId="0" fontId="18" fillId="8" borderId="19" xfId="1" applyFont="1" applyFill="1" applyBorder="1" applyAlignment="1" applyProtection="1">
      <alignment vertical="center"/>
      <protection locked="0"/>
    </xf>
    <xf numFmtId="0" fontId="31" fillId="8" borderId="32" xfId="1" applyFont="1" applyFill="1" applyBorder="1" applyAlignment="1" applyProtection="1">
      <alignment horizontal="left" vertical="center" wrapText="1"/>
    </xf>
    <xf numFmtId="0" fontId="18" fillId="0" borderId="33" xfId="0" applyFont="1" applyBorder="1" applyAlignment="1" applyProtection="1">
      <alignment horizontal="left" vertical="center"/>
    </xf>
    <xf numFmtId="0" fontId="18" fillId="0" borderId="34" xfId="0" applyFont="1" applyBorder="1" applyAlignment="1" applyProtection="1">
      <alignment horizontal="left" vertical="center"/>
    </xf>
    <xf numFmtId="0" fontId="18" fillId="0" borderId="28" xfId="0" applyFont="1" applyBorder="1" applyAlignment="1" applyProtection="1">
      <alignment horizontal="left" vertical="center" wrapText="1"/>
    </xf>
    <xf numFmtId="0" fontId="18" fillId="0" borderId="0" xfId="0" applyFont="1" applyBorder="1" applyAlignment="1" applyProtection="1">
      <alignment horizontal="left" vertical="center"/>
    </xf>
    <xf numFmtId="0" fontId="18" fillId="0" borderId="35" xfId="0" applyFont="1" applyBorder="1" applyAlignment="1" applyProtection="1">
      <alignment horizontal="left" vertical="center"/>
    </xf>
    <xf numFmtId="0" fontId="18" fillId="0" borderId="29" xfId="0" applyFont="1" applyBorder="1" applyAlignment="1" applyProtection="1">
      <alignment horizontal="left" vertical="center" wrapText="1"/>
    </xf>
    <xf numFmtId="0" fontId="18" fillId="0" borderId="24" xfId="0" applyFont="1" applyBorder="1" applyAlignment="1" applyProtection="1">
      <alignment horizontal="left" vertical="center"/>
    </xf>
    <xf numFmtId="0" fontId="18" fillId="0" borderId="30" xfId="0" applyFont="1" applyBorder="1" applyAlignment="1" applyProtection="1">
      <alignment horizontal="left" vertical="center"/>
    </xf>
    <xf numFmtId="0" fontId="38" fillId="10" borderId="19" xfId="1" applyFont="1" applyFill="1" applyBorder="1" applyAlignment="1" applyProtection="1">
      <alignment vertical="center"/>
      <protection locked="0"/>
    </xf>
    <xf numFmtId="0" fontId="38" fillId="0" borderId="27" xfId="0" applyFont="1" applyBorder="1" applyAlignment="1" applyProtection="1">
      <alignment vertical="center"/>
      <protection locked="0"/>
    </xf>
    <xf numFmtId="0" fontId="47" fillId="8" borderId="2" xfId="3" applyFont="1" applyFill="1" applyBorder="1" applyAlignment="1" applyProtection="1">
      <alignment horizontal="left" vertical="center"/>
      <protection locked="0"/>
    </xf>
    <xf numFmtId="0" fontId="47" fillId="8" borderId="2" xfId="0" applyFont="1" applyFill="1" applyBorder="1" applyAlignment="1" applyProtection="1">
      <alignment horizontal="left" vertical="center"/>
      <protection locked="0"/>
    </xf>
    <xf numFmtId="0" fontId="24" fillId="10" borderId="27" xfId="1" applyFont="1" applyFill="1" applyBorder="1" applyAlignment="1" applyProtection="1">
      <alignment vertical="center"/>
      <protection locked="0"/>
    </xf>
    <xf numFmtId="0" fontId="17" fillId="9" borderId="0" xfId="1" applyFont="1" applyFill="1" applyBorder="1" applyAlignment="1">
      <alignment horizontal="left" vertical="center"/>
    </xf>
    <xf numFmtId="0" fontId="43" fillId="0" borderId="0" xfId="0" applyFont="1" applyAlignment="1">
      <alignment horizontal="left" vertical="center"/>
    </xf>
    <xf numFmtId="0" fontId="18" fillId="0" borderId="16" xfId="0" applyFont="1" applyBorder="1" applyAlignment="1">
      <alignment wrapText="1"/>
    </xf>
    <xf numFmtId="0" fontId="18" fillId="0" borderId="17" xfId="0" applyFont="1" applyBorder="1" applyAlignment="1">
      <alignment wrapText="1"/>
    </xf>
    <xf numFmtId="0" fontId="18" fillId="8" borderId="16" xfId="0" applyFont="1" applyFill="1" applyBorder="1" applyAlignment="1">
      <alignment vertical="center" wrapText="1"/>
    </xf>
    <xf numFmtId="0" fontId="18" fillId="8" borderId="17" xfId="0" applyFont="1" applyFill="1" applyBorder="1" applyAlignment="1">
      <alignment vertical="center" wrapText="1"/>
    </xf>
    <xf numFmtId="0" fontId="32" fillId="9" borderId="2" xfId="4" applyFont="1" applyFill="1" applyBorder="1" applyAlignment="1">
      <alignment horizontal="left" vertical="center"/>
    </xf>
    <xf numFmtId="0" fontId="18" fillId="0" borderId="2" xfId="0" applyFont="1" applyBorder="1" applyAlignment="1">
      <alignment horizontal="left" vertical="center"/>
    </xf>
  </cellXfs>
  <cellStyles count="24">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Hyperlink" xfId="3" builtinId="8"/>
    <cellStyle name="Hyperlink 2" xfId="5" xr:uid="{00000000-0005-0000-0000-000012000000}"/>
    <cellStyle name="Hyperlink 3" xfId="7" xr:uid="{00000000-0005-0000-0000-000013000000}"/>
    <cellStyle name="Normal" xfId="0" builtinId="0"/>
    <cellStyle name="Normal 2" xfId="1" xr:uid="{00000000-0005-0000-0000-000015000000}"/>
    <cellStyle name="Normal 3" xfId="4" xr:uid="{00000000-0005-0000-0000-000016000000}"/>
    <cellStyle name="Normal 3 2" xfId="23" xr:uid="{00000000-0005-0000-0000-000019000000}"/>
  </cellStyles>
  <dxfs count="389">
    <dxf>
      <alignment horizontal="general" vertical="bottom" textRotation="0" wrapText="1" indent="0" justifyLastLine="0" shrinkToFit="0" readingOrder="0"/>
    </dxf>
    <dxf>
      <numFmt numFmtId="166" formatCode="dd\-mmm\-yy"/>
      <alignment horizontal="center" vertical="center" textRotation="0" wrapText="0" indent="0" justifyLastLine="0" shrinkToFit="0" readingOrder="0"/>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patternType="none">
          <bgColor auto="1"/>
        </patternFill>
      </fill>
    </dxf>
    <dxf>
      <font>
        <b/>
        <i val="0"/>
        <color rgb="FFFF0000"/>
      </font>
      <fill>
        <patternFill patternType="none">
          <bgColor auto="1"/>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patternType="none">
          <fgColor auto="1"/>
        </patternFill>
      </fill>
    </dxf>
    <dxf>
      <font>
        <b/>
        <i val="0"/>
        <color rgb="FFFF0000"/>
      </font>
      <fill>
        <patternFill patternType="none">
          <fgColor auto="1"/>
        </patternFill>
      </fill>
    </dxf>
    <dxf>
      <font>
        <b/>
        <i val="0"/>
        <color rgb="FFFF0000"/>
      </font>
    </dxf>
    <dxf>
      <font>
        <b/>
        <i val="0"/>
        <color rgb="FFFF0000"/>
      </font>
      <fill>
        <patternFill patternType="none">
          <fgColor auto="1"/>
        </patternFill>
      </fill>
    </dxf>
    <dxf>
      <font>
        <b/>
        <i val="0"/>
        <color rgb="FFFF0000"/>
      </font>
      <fill>
        <patternFill patternType="none">
          <fgColor auto="1"/>
        </patternFill>
      </fill>
    </dxf>
    <dxf>
      <font>
        <b/>
        <i val="0"/>
        <color rgb="FFFF0000"/>
      </font>
      <fill>
        <patternFill patternType="none">
          <fgColor auto="1"/>
        </patternFill>
      </fill>
    </dxf>
    <dxf>
      <font>
        <b/>
        <i val="0"/>
        <color rgb="FFFF0000"/>
      </font>
      <fill>
        <patternFill patternType="none">
          <fgColor auto="1"/>
        </patternFill>
      </fill>
    </dxf>
    <dxf>
      <font>
        <b/>
        <i val="0"/>
        <color rgb="FFFF0000"/>
      </font>
      <fill>
        <patternFill patternType="none">
          <fgColor auto="1"/>
        </patternFill>
      </fill>
    </dxf>
    <dxf>
      <font>
        <b/>
        <i val="0"/>
        <color rgb="FFFF0000"/>
      </font>
      <fill>
        <patternFill patternType="none">
          <bgColor auto="1"/>
        </patternFill>
      </fill>
    </dxf>
    <dxf>
      <font>
        <b/>
        <i val="0"/>
        <color rgb="FFFF0000"/>
      </font>
      <fill>
        <patternFill patternType="none">
          <fgColor auto="1"/>
        </patternFill>
      </fill>
    </dxf>
    <dxf>
      <font>
        <b/>
        <i val="0"/>
        <color rgb="FFFF0000"/>
      </font>
      <fill>
        <patternFill patternType="none">
          <fgColor auto="1"/>
        </patternFill>
      </fill>
    </dxf>
    <dxf>
      <font>
        <b/>
        <i val="0"/>
        <color rgb="FFFF0000"/>
      </font>
      <fill>
        <patternFill patternType="none">
          <fgColor auto="1"/>
        </patternFill>
      </fill>
    </dxf>
    <dxf>
      <font>
        <b/>
        <i val="0"/>
        <color rgb="FFFF0000"/>
      </font>
      <fill>
        <patternFill patternType="none">
          <bgColor auto="1"/>
        </patternFill>
      </fill>
    </dxf>
    <dxf>
      <font>
        <b/>
        <i val="0"/>
        <color rgb="FFFF0000"/>
      </font>
    </dxf>
    <dxf>
      <font>
        <b/>
        <i val="0"/>
        <color rgb="FFFF0000"/>
      </font>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1206"/>
      </font>
      <fill>
        <patternFill>
          <bgColor theme="5" tint="0.59996337778862885"/>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C00000"/>
      </font>
      <fill>
        <patternFill>
          <bgColor theme="5" tint="0.39994506668294322"/>
        </patternFill>
      </fill>
    </dxf>
    <dxf>
      <font>
        <color rgb="FFC00000"/>
      </font>
      <fill>
        <patternFill>
          <bgColor theme="5" tint="0.3999450666829432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C00000"/>
      </font>
      <fill>
        <patternFill>
          <bgColor theme="5" tint="0.39994506668294322"/>
        </patternFill>
      </fill>
    </dxf>
    <dxf>
      <font>
        <color rgb="FFC00000"/>
      </font>
      <fill>
        <patternFill>
          <bgColor theme="5" tint="0.39994506668294322"/>
        </patternFill>
      </fill>
    </dxf>
    <dxf>
      <fill>
        <patternFill>
          <bgColor theme="0" tint="-4.9989318521683403E-2"/>
        </patternFill>
      </fill>
    </dxf>
    <dxf>
      <fill>
        <patternFill>
          <bgColor theme="0" tint="-4.9989318521683403E-2"/>
        </patternFill>
      </fill>
    </dxf>
    <dxf>
      <font>
        <color rgb="FFC00000"/>
      </font>
      <fill>
        <patternFill>
          <bgColor theme="5" tint="0.39994506668294322"/>
        </patternFill>
      </fill>
    </dxf>
    <dxf>
      <font>
        <color rgb="FFC00000"/>
      </font>
      <fill>
        <patternFill>
          <bgColor theme="5" tint="0.39994506668294322"/>
        </patternFill>
      </fill>
    </dxf>
    <dxf>
      <font>
        <b/>
        <i val="0"/>
        <color rgb="FF9C0006"/>
      </font>
      <fill>
        <patternFill>
          <bgColor theme="5" tint="0.59996337778862885"/>
        </patternFill>
      </fill>
    </dxf>
    <dxf>
      <font>
        <b/>
        <i val="0"/>
        <color rgb="FF9C0006"/>
      </font>
      <fill>
        <patternFill>
          <bgColor theme="5" tint="0.59996337778862885"/>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C00000"/>
      </font>
      <fill>
        <patternFill>
          <bgColor theme="5" tint="0.3999450666829432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C00000"/>
      </font>
      <fill>
        <patternFill>
          <bgColor theme="5" tint="0.59996337778862885"/>
        </patternFill>
      </fill>
    </dxf>
    <dxf>
      <font>
        <b/>
        <i val="0"/>
        <color rgb="FFC00000"/>
      </font>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theme="5"/>
      </font>
      <fill>
        <patternFill>
          <bgColor theme="5" tint="0.59996337778862885"/>
        </patternFill>
      </fill>
    </dxf>
    <dxf>
      <font>
        <b/>
        <i val="0"/>
        <color theme="5"/>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39994506668294322"/>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5"/>
        <color theme="0"/>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8"/>
        <color theme="1"/>
        <name val="Metropolis"/>
        <scheme val="none"/>
      </font>
      <fill>
        <patternFill patternType="none">
          <fgColor indexed="64"/>
          <bgColor auto="1"/>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9C0006"/>
      <color rgb="FF9C1206"/>
      <color rgb="FFFFFFE5"/>
      <color rgb="FFFFFFCC"/>
      <color rgb="FFFF6600"/>
      <color rgb="FFFFCCFF"/>
      <color rgb="FF00FFCC"/>
      <color rgb="FFFEB850"/>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3282628</xdr:colOff>
      <xdr:row>0</xdr:row>
      <xdr:rowOff>600075</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7252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57150</xdr:colOff>
      <xdr:row>0</xdr:row>
      <xdr:rowOff>47625</xdr:rowOff>
    </xdr:from>
    <xdr:ext cx="3339697" cy="53065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7150" y="47625"/>
          <a:ext cx="333969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rPr>
            <a:t>Prerequisite Checklist</a:t>
          </a:r>
        </a:p>
      </xdr:txBody>
    </xdr:sp>
    <xdr:clientData/>
  </xdr:oneCellAnchor>
  <xdr:twoCellAnchor editAs="oneCell">
    <xdr:from>
      <xdr:col>2</xdr:col>
      <xdr:colOff>2828925</xdr:colOff>
      <xdr:row>0</xdr:row>
      <xdr:rowOff>171450</xdr:rowOff>
    </xdr:from>
    <xdr:to>
      <xdr:col>3</xdr:col>
      <xdr:colOff>1638354</xdr:colOff>
      <xdr:row>0</xdr:row>
      <xdr:rowOff>488211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9124950" y="171450"/>
          <a:ext cx="1362075" cy="316761"/>
        </a:xfrm>
        <a:prstGeom prst="rect">
          <a:avLst/>
        </a:prstGeom>
      </xdr:spPr>
    </xdr:pic>
    <xdr:clientData/>
  </xdr:twoCellAnchor>
  <xdr:twoCellAnchor editAs="oneCell">
    <xdr:from>
      <xdr:col>0</xdr:col>
      <xdr:colOff>0</xdr:colOff>
      <xdr:row>0</xdr:row>
      <xdr:rowOff>0</xdr:rowOff>
    </xdr:from>
    <xdr:to>
      <xdr:col>4</xdr:col>
      <xdr:colOff>26629</xdr:colOff>
      <xdr:row>0</xdr:row>
      <xdr:rowOff>600075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274808"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57150</xdr:colOff>
      <xdr:row>0</xdr:row>
      <xdr:rowOff>94662</xdr:rowOff>
    </xdr:from>
    <xdr:ext cx="3885679" cy="451406"/>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7150" y="94662"/>
          <a:ext cx="3885679"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Prerequisite Checklist</a:t>
          </a:r>
        </a:p>
      </xdr:txBody>
    </xdr:sp>
    <xdr:clientData/>
  </xdr:oneCellAnchor>
  <xdr:twoCellAnchor editAs="oneCell">
    <xdr:from>
      <xdr:col>3</xdr:col>
      <xdr:colOff>2104555</xdr:colOff>
      <xdr:row>0</xdr:row>
      <xdr:rowOff>152635</xdr:rowOff>
    </xdr:from>
    <xdr:to>
      <xdr:col>3</xdr:col>
      <xdr:colOff>3522246</xdr:colOff>
      <xdr:row>0</xdr:row>
      <xdr:rowOff>469396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12213755" y="152635"/>
          <a:ext cx="1413816" cy="316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13</xdr:col>
      <xdr:colOff>9622</xdr:colOff>
      <xdr:row>0</xdr:row>
      <xdr:rowOff>586155</xdr:rowOff>
    </xdr:to>
    <xdr:pic>
      <xdr:nvPicPr>
        <xdr:cNvPr id="2" name="Picture 4">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15490152" cy="5861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0</xdr:colOff>
      <xdr:row>0</xdr:row>
      <xdr:rowOff>83853</xdr:rowOff>
    </xdr:from>
    <xdr:ext cx="4411464" cy="451406"/>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83853"/>
          <a:ext cx="4411464"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Management Workloads</a:t>
          </a:r>
        </a:p>
      </xdr:txBody>
    </xdr:sp>
    <xdr:clientData/>
  </xdr:oneCellAnchor>
  <xdr:twoCellAnchor editAs="oneCell">
    <xdr:from>
      <xdr:col>11</xdr:col>
      <xdr:colOff>1084384</xdr:colOff>
      <xdr:row>0</xdr:row>
      <xdr:rowOff>146538</xdr:rowOff>
    </xdr:from>
    <xdr:to>
      <xdr:col>12</xdr:col>
      <xdr:colOff>1115312</xdr:colOff>
      <xdr:row>0</xdr:row>
      <xdr:rowOff>463299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2338538" y="146538"/>
          <a:ext cx="1418159"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6</xdr:col>
      <xdr:colOff>0</xdr:colOff>
      <xdr:row>1</xdr:row>
      <xdr:rowOff>3695</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673385" cy="5998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38806</xdr:colOff>
      <xdr:row>0</xdr:row>
      <xdr:rowOff>94427</xdr:rowOff>
    </xdr:from>
    <xdr:ext cx="3269293"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8806" y="94427"/>
          <a:ext cx="326929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Users and Groups</a:t>
          </a:r>
        </a:p>
      </xdr:txBody>
    </xdr:sp>
    <xdr:clientData/>
  </xdr:oneCellAnchor>
  <xdr:twoCellAnchor editAs="oneCell">
    <xdr:from>
      <xdr:col>5</xdr:col>
      <xdr:colOff>427449</xdr:colOff>
      <xdr:row>0</xdr:row>
      <xdr:rowOff>123120</xdr:rowOff>
    </xdr:from>
    <xdr:to>
      <xdr:col>5</xdr:col>
      <xdr:colOff>2082645</xdr:colOff>
      <xdr:row>0</xdr:row>
      <xdr:rowOff>439881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0418116" y="123120"/>
          <a:ext cx="1655196"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58617</xdr:colOff>
      <xdr:row>0</xdr:row>
      <xdr:rowOff>15192</xdr:rowOff>
    </xdr:from>
    <xdr:to>
      <xdr:col>11</xdr:col>
      <xdr:colOff>9769</xdr:colOff>
      <xdr:row>1</xdr:row>
      <xdr:rowOff>10983</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17" y="15192"/>
          <a:ext cx="15552614" cy="601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72737</xdr:colOff>
      <xdr:row>0</xdr:row>
      <xdr:rowOff>95827</xdr:rowOff>
    </xdr:from>
    <xdr:ext cx="3674660"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2737" y="95827"/>
          <a:ext cx="367466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Hosts and Networks</a:t>
          </a:r>
        </a:p>
      </xdr:txBody>
    </xdr:sp>
    <xdr:clientData/>
  </xdr:oneCellAnchor>
  <xdr:twoCellAnchor editAs="oneCell">
    <xdr:from>
      <xdr:col>9</xdr:col>
      <xdr:colOff>1079065</xdr:colOff>
      <xdr:row>0</xdr:row>
      <xdr:rowOff>148900</xdr:rowOff>
    </xdr:from>
    <xdr:to>
      <xdr:col>10</xdr:col>
      <xdr:colOff>500348</xdr:colOff>
      <xdr:row>0</xdr:row>
      <xdr:rowOff>465661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2284373" y="148900"/>
          <a:ext cx="1619360" cy="316761"/>
        </a:xfrm>
        <a:prstGeom prst="rect">
          <a:avLst/>
        </a:prstGeom>
      </xdr:spPr>
    </xdr:pic>
    <xdr:clientData/>
  </xdr:twoCellAnchor>
  <xdr:twoCellAnchor editAs="oneCell">
    <xdr:from>
      <xdr:col>0</xdr:col>
      <xdr:colOff>117231</xdr:colOff>
      <xdr:row>26</xdr:row>
      <xdr:rowOff>136769</xdr:rowOff>
    </xdr:from>
    <xdr:to>
      <xdr:col>5</xdr:col>
      <xdr:colOff>33216</xdr:colOff>
      <xdr:row>50</xdr:row>
      <xdr:rowOff>137056</xdr:rowOff>
    </xdr:to>
    <xdr:pic>
      <xdr:nvPicPr>
        <xdr:cNvPr id="6" name="Picture 5">
          <a:extLst>
            <a:ext uri="{FF2B5EF4-FFF2-40B4-BE49-F238E27FC236}">
              <a16:creationId xmlns:a16="http://schemas.microsoft.com/office/drawing/2014/main" id="{8F820846-8359-374A-829D-BF822176D511}"/>
            </a:ext>
          </a:extLst>
        </xdr:cNvPr>
        <xdr:cNvPicPr>
          <a:picLocks noChangeAspect="1"/>
        </xdr:cNvPicPr>
      </xdr:nvPicPr>
      <xdr:blipFill>
        <a:blip xmlns:r="http://schemas.openxmlformats.org/officeDocument/2006/relationships" r:embed="rId3"/>
        <a:stretch>
          <a:fillRect/>
        </a:stretch>
      </xdr:blipFill>
      <xdr:spPr>
        <a:xfrm>
          <a:off x="117231" y="5978769"/>
          <a:ext cx="5943600" cy="4415979"/>
        </a:xfrm>
        <a:prstGeom prst="rect">
          <a:avLst/>
        </a:prstGeom>
      </xdr:spPr>
    </xdr:pic>
    <xdr:clientData/>
  </xdr:twoCellAnchor>
  <xdr:twoCellAnchor editAs="oneCell">
    <xdr:from>
      <xdr:col>6</xdr:col>
      <xdr:colOff>0</xdr:colOff>
      <xdr:row>26</xdr:row>
      <xdr:rowOff>136769</xdr:rowOff>
    </xdr:from>
    <xdr:to>
      <xdr:col>9</xdr:col>
      <xdr:colOff>1342292</xdr:colOff>
      <xdr:row>50</xdr:row>
      <xdr:rowOff>182146</xdr:rowOff>
    </xdr:to>
    <xdr:pic>
      <xdr:nvPicPr>
        <xdr:cNvPr id="7" name="Picture 6">
          <a:extLst>
            <a:ext uri="{FF2B5EF4-FFF2-40B4-BE49-F238E27FC236}">
              <a16:creationId xmlns:a16="http://schemas.microsoft.com/office/drawing/2014/main" id="{9F068DC0-B94E-EE4A-BB63-911DD74541EA}"/>
            </a:ext>
          </a:extLst>
        </xdr:cNvPr>
        <xdr:cNvPicPr>
          <a:picLocks noChangeAspect="1"/>
        </xdr:cNvPicPr>
      </xdr:nvPicPr>
      <xdr:blipFill>
        <a:blip xmlns:r="http://schemas.openxmlformats.org/officeDocument/2006/relationships" r:embed="rId4"/>
        <a:stretch>
          <a:fillRect/>
        </a:stretch>
      </xdr:blipFill>
      <xdr:spPr>
        <a:xfrm>
          <a:off x="6604000" y="5978769"/>
          <a:ext cx="5943600" cy="44610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10583</xdr:colOff>
      <xdr:row>1</xdr:row>
      <xdr:rowOff>8693</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7070916" cy="613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29560</xdr:colOff>
      <xdr:row>0</xdr:row>
      <xdr:rowOff>94265</xdr:rowOff>
    </xdr:from>
    <xdr:ext cx="438626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9560" y="94265"/>
          <a:ext cx="438626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Parameters</a:t>
          </a:r>
          <a:endParaRPr lang="en-US" sz="2800">
            <a:solidFill>
              <a:srgbClr val="FFFFFF"/>
            </a:solidFill>
            <a:latin typeface="Metropolis" pitchFamily="2" charset="77"/>
          </a:endParaRPr>
        </a:p>
      </xdr:txBody>
    </xdr:sp>
    <xdr:clientData/>
  </xdr:oneCellAnchor>
  <xdr:twoCellAnchor editAs="oneCell">
    <xdr:from>
      <xdr:col>8</xdr:col>
      <xdr:colOff>2976358</xdr:colOff>
      <xdr:row>0</xdr:row>
      <xdr:rowOff>170035</xdr:rowOff>
    </xdr:from>
    <xdr:to>
      <xdr:col>9</xdr:col>
      <xdr:colOff>808307</xdr:colOff>
      <xdr:row>0</xdr:row>
      <xdr:rowOff>486796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538525" y="170035"/>
          <a:ext cx="1726615" cy="316761"/>
        </a:xfrm>
        <a:prstGeom prst="rect">
          <a:avLst/>
        </a:prstGeom>
      </xdr:spPr>
    </xdr:pic>
    <xdr:clientData/>
  </xdr:twoCellAnchor>
  <xdr:twoCellAnchor>
    <xdr:from>
      <xdr:col>1</xdr:col>
      <xdr:colOff>10948</xdr:colOff>
      <xdr:row>14</xdr:row>
      <xdr:rowOff>76636</xdr:rowOff>
    </xdr:from>
    <xdr:to>
      <xdr:col>3</xdr:col>
      <xdr:colOff>10947</xdr:colOff>
      <xdr:row>23</xdr:row>
      <xdr:rowOff>76636</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20431" y="3404912"/>
          <a:ext cx="3777154" cy="1302845"/>
        </a:xfrm>
        <a:prstGeom prst="rect">
          <a:avLst/>
        </a:prstGeom>
        <a:solidFill>
          <a:srgbClr val="FF0000">
            <a:alpha val="13000"/>
          </a:srgbClr>
        </a:solidFill>
        <a:ln w="127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Single</a:t>
          </a:r>
          <a:r>
            <a:rPr lang="en-US" sz="1100" baseline="0"/>
            <a:t> Sign-On value is used to automatically update the names for site specific objects such as hostnames, datastores, host profiles, cluster names and distributed virtual switches. The VVD uses a consistent naming convention where the site name is used as the prefix for the objects mentioned. Each cell affected by this is grey in color and can be manually modified if needed.</a:t>
          </a:r>
        </a:p>
      </xdr:txBody>
    </xdr:sp>
    <xdr:clientData/>
  </xdr:twoCellAnchor>
  <xdr:twoCellAnchor>
    <xdr:from>
      <xdr:col>4</xdr:col>
      <xdr:colOff>32846</xdr:colOff>
      <xdr:row>21</xdr:row>
      <xdr:rowOff>32843</xdr:rowOff>
    </xdr:from>
    <xdr:to>
      <xdr:col>6</xdr:col>
      <xdr:colOff>1270001</xdr:colOff>
      <xdr:row>22</xdr:row>
      <xdr:rowOff>153276</xdr:rowOff>
    </xdr:to>
    <xdr:sp macro="" textlink="">
      <xdr:nvSpPr>
        <xdr:cNvPr id="7" name="Right Arrow 6">
          <a:extLst>
            <a:ext uri="{FF2B5EF4-FFF2-40B4-BE49-F238E27FC236}">
              <a16:creationId xmlns:a16="http://schemas.microsoft.com/office/drawing/2014/main" id="{00000000-0008-0000-0400-000007000000}"/>
            </a:ext>
          </a:extLst>
        </xdr:cNvPr>
        <xdr:cNvSpPr/>
      </xdr:nvSpPr>
      <xdr:spPr>
        <a:xfrm>
          <a:off x="4050863" y="4291722"/>
          <a:ext cx="5474138" cy="306554"/>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xdr:colOff>
      <xdr:row>0</xdr:row>
      <xdr:rowOff>9525</xdr:rowOff>
    </xdr:from>
    <xdr:to>
      <xdr:col>9</xdr:col>
      <xdr:colOff>478692</xdr:colOff>
      <xdr:row>1</xdr:row>
      <xdr:rowOff>6485</xdr:rowOff>
    </xdr:to>
    <xdr:pic>
      <xdr:nvPicPr>
        <xdr:cNvPr id="2" name="Picture 4">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 y="9525"/>
          <a:ext cx="15064152" cy="602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48847</xdr:colOff>
      <xdr:row>0</xdr:row>
      <xdr:rowOff>106729</xdr:rowOff>
    </xdr:from>
    <xdr:ext cx="6159763" cy="451406"/>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8847" y="106729"/>
          <a:ext cx="615976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vRealize</a:t>
          </a:r>
          <a:r>
            <a:rPr lang="en-US" sz="2800" baseline="0">
              <a:solidFill>
                <a:srgbClr val="FFFFFF"/>
              </a:solidFill>
              <a:latin typeface="Metropolis" pitchFamily="2" charset="77"/>
            </a:rPr>
            <a:t> Automation Configuration</a:t>
          </a:r>
          <a:endParaRPr lang="en-US" sz="2800">
            <a:solidFill>
              <a:srgbClr val="FFFFFF"/>
            </a:solidFill>
            <a:latin typeface="Metropolis" pitchFamily="2" charset="77"/>
          </a:endParaRPr>
        </a:p>
      </xdr:txBody>
    </xdr:sp>
    <xdr:clientData/>
  </xdr:oneCellAnchor>
  <xdr:twoCellAnchor editAs="oneCell">
    <xdr:from>
      <xdr:col>7</xdr:col>
      <xdr:colOff>0</xdr:colOff>
      <xdr:row>0</xdr:row>
      <xdr:rowOff>159452</xdr:rowOff>
    </xdr:from>
    <xdr:to>
      <xdr:col>8</xdr:col>
      <xdr:colOff>322385</xdr:colOff>
      <xdr:row>0</xdr:row>
      <xdr:rowOff>476213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734550" y="159452"/>
          <a:ext cx="1362075" cy="3167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6</xdr:col>
      <xdr:colOff>26247</xdr:colOff>
      <xdr:row>1</xdr:row>
      <xdr:rowOff>18276</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5012050" cy="6166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123825</xdr:colOff>
      <xdr:row>0</xdr:row>
      <xdr:rowOff>19050</xdr:rowOff>
    </xdr:from>
    <xdr:ext cx="4566699" cy="968983"/>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23825" y="19050"/>
          <a:ext cx="4566699" cy="968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rPr>
            <a:t>Cloud Builder</a:t>
          </a:r>
          <a:r>
            <a:rPr lang="en-US" sz="2800" baseline="0">
              <a:solidFill>
                <a:srgbClr val="FFFFFF"/>
              </a:solidFill>
            </a:rPr>
            <a:t> </a:t>
          </a:r>
          <a:r>
            <a:rPr lang="en-US" sz="2800">
              <a:solidFill>
                <a:srgbClr val="FFFFFF"/>
              </a:solidFill>
            </a:rPr>
            <a:t>Run Parameters</a:t>
          </a:r>
        </a:p>
        <a:p>
          <a:endParaRPr lang="en-US" sz="2800">
            <a:solidFill>
              <a:srgbClr val="FFFFFF"/>
            </a:solidFill>
          </a:endParaRPr>
        </a:p>
      </xdr:txBody>
    </xdr:sp>
    <xdr:clientData/>
  </xdr:oneCellAnchor>
  <xdr:twoCellAnchor editAs="oneCell">
    <xdr:from>
      <xdr:col>5</xdr:col>
      <xdr:colOff>333375</xdr:colOff>
      <xdr:row>0</xdr:row>
      <xdr:rowOff>161925</xdr:rowOff>
    </xdr:from>
    <xdr:to>
      <xdr:col>5</xdr:col>
      <xdr:colOff>1695450</xdr:colOff>
      <xdr:row>0</xdr:row>
      <xdr:rowOff>478686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0306050" y="161925"/>
          <a:ext cx="1362075" cy="3167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VVDDevToolsTeam/Shared%20Documents/General/Dev%20Tools%20-%20Testbed%20Deployment%20Details/WDC003V%20-%20DTK.Next%20Deployment%20Parameters%20(Build%20xxxxxxx)%20-%20Halibut%20(Region%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equisite Checklist"/>
      <sheetName val="Management Workloads"/>
      <sheetName val="Users and Groups"/>
      <sheetName val="Hosts and Networks"/>
      <sheetName val="Deploy Parameters"/>
      <sheetName val="vRA Configuration"/>
      <sheetName val="Run Parameters"/>
      <sheetName val="Lookup_Lists"/>
      <sheetName val="Config_File_Build"/>
      <sheetName val="Config File"/>
      <sheetName val="Post-Deployment Checklist"/>
      <sheetName val="CertConfig"/>
      <sheetName val="Change Log"/>
    </sheetNames>
    <sheetDataSet>
      <sheetData sheetId="0"/>
      <sheetData sheetId="1"/>
      <sheetData sheetId="2"/>
      <sheetData sheetId="3"/>
      <sheetData sheetId="4"/>
      <sheetData sheetId="5"/>
      <sheetData sheetId="6"/>
      <sheetData sheetId="7">
        <row r="2">
          <cell r="A2" t="str">
            <v>AED - UAE Dirham</v>
          </cell>
          <cell r="C2">
            <v>0</v>
          </cell>
        </row>
        <row r="3">
          <cell r="A3" t="str">
            <v>ALL - Albanian Lek</v>
          </cell>
          <cell r="C3">
            <v>1</v>
          </cell>
        </row>
        <row r="4">
          <cell r="A4" t="str">
            <v>ARS - Argentine Peso</v>
          </cell>
          <cell r="C4">
            <v>2</v>
          </cell>
        </row>
        <row r="5">
          <cell r="A5" t="str">
            <v>AUD - Australian Dollar</v>
          </cell>
          <cell r="C5">
            <v>3</v>
          </cell>
        </row>
        <row r="6">
          <cell r="A6" t="str">
            <v>AWG - Arubian Florin</v>
          </cell>
          <cell r="C6">
            <v>4</v>
          </cell>
        </row>
        <row r="7">
          <cell r="A7" t="str">
            <v>BBD - Barbadian Dollar</v>
          </cell>
          <cell r="C7">
            <v>10</v>
          </cell>
        </row>
        <row r="8">
          <cell r="A8" t="str">
            <v>BDT - Bangladeshi Taka</v>
          </cell>
          <cell r="C8">
            <v>13</v>
          </cell>
        </row>
        <row r="9">
          <cell r="A9" t="str">
            <v>BGN - Bulgarian Lev</v>
          </cell>
          <cell r="C9">
            <v>15</v>
          </cell>
        </row>
        <row r="10">
          <cell r="A10" t="str">
            <v>BHD - Bahraini Dinar</v>
          </cell>
          <cell r="C10">
            <v>20</v>
          </cell>
        </row>
        <row r="11">
          <cell r="A11" t="str">
            <v>BIF - Burundi Franc</v>
          </cell>
          <cell r="C11">
            <v>25</v>
          </cell>
        </row>
        <row r="12">
          <cell r="A12" t="str">
            <v>BMD - Bermudian Dollar</v>
          </cell>
          <cell r="C12">
            <v>30</v>
          </cell>
        </row>
        <row r="13">
          <cell r="A13" t="str">
            <v>BND - Brunei Dollar</v>
          </cell>
          <cell r="C13">
            <v>33</v>
          </cell>
        </row>
        <row r="14">
          <cell r="A14" t="str">
            <v>BOB - Bolivian Boliviano</v>
          </cell>
          <cell r="C14">
            <v>35</v>
          </cell>
        </row>
        <row r="15">
          <cell r="A15" t="str">
            <v>BRL - Brazilian Real</v>
          </cell>
          <cell r="C15">
            <v>40</v>
          </cell>
        </row>
        <row r="16">
          <cell r="A16" t="str">
            <v>BSD - Bahamian Dollar</v>
          </cell>
          <cell r="C16">
            <v>45</v>
          </cell>
        </row>
        <row r="17">
          <cell r="A17" t="str">
            <v>BWP - Botswana Pula</v>
          </cell>
          <cell r="C17">
            <v>50</v>
          </cell>
        </row>
        <row r="18">
          <cell r="A18" t="str">
            <v>BZD - Belize Dollar</v>
          </cell>
          <cell r="C18">
            <v>55</v>
          </cell>
        </row>
        <row r="19">
          <cell r="A19" t="str">
            <v>CAD - Canadian Dollar</v>
          </cell>
          <cell r="C19">
            <v>56</v>
          </cell>
        </row>
        <row r="20">
          <cell r="A20" t="str">
            <v>CDF - Congolese Franc</v>
          </cell>
          <cell r="C20">
            <v>60</v>
          </cell>
        </row>
        <row r="21">
          <cell r="A21" t="str">
            <v>CHF - Swiss Franc</v>
          </cell>
          <cell r="C21">
            <v>65</v>
          </cell>
        </row>
        <row r="22">
          <cell r="A22" t="str">
            <v>CLP - Chilean Peso</v>
          </cell>
          <cell r="C22">
            <v>70</v>
          </cell>
        </row>
        <row r="23">
          <cell r="A23" t="str">
            <v>CNY - China Yuan Renminbi</v>
          </cell>
          <cell r="C23">
            <v>73</v>
          </cell>
        </row>
        <row r="24">
          <cell r="A24" t="str">
            <v>COP - Colombian Peso</v>
          </cell>
          <cell r="C24">
            <v>75</v>
          </cell>
        </row>
        <row r="25">
          <cell r="A25" t="str">
            <v>CRC - Costa Rican Colon</v>
          </cell>
          <cell r="C25">
            <v>80</v>
          </cell>
        </row>
        <row r="26">
          <cell r="A26" t="str">
            <v>CUP - Cuban Peso</v>
          </cell>
          <cell r="C26">
            <v>83</v>
          </cell>
        </row>
        <row r="27">
          <cell r="A27" t="str">
            <v>CVE - Cape Verdean Escuso</v>
          </cell>
          <cell r="C27">
            <v>85</v>
          </cell>
        </row>
        <row r="28">
          <cell r="A28" t="str">
            <v>CZK - Czech Koruna</v>
          </cell>
          <cell r="C28">
            <v>90</v>
          </cell>
        </row>
        <row r="29">
          <cell r="A29" t="str">
            <v>DJF - Djiboutian Franc</v>
          </cell>
          <cell r="C29">
            <v>95</v>
          </cell>
        </row>
        <row r="30">
          <cell r="A30" t="str">
            <v>DKK - Danish Krone</v>
          </cell>
          <cell r="C30">
            <v>100</v>
          </cell>
        </row>
        <row r="31">
          <cell r="A31" t="str">
            <v>DOP - Dominican peso</v>
          </cell>
          <cell r="C31">
            <v>105</v>
          </cell>
        </row>
        <row r="32">
          <cell r="A32" t="str">
            <v>DZD - Algerian Dinar</v>
          </cell>
          <cell r="C32">
            <v>110</v>
          </cell>
        </row>
        <row r="33">
          <cell r="A33" t="str">
            <v>EGP - Egyptian Pound</v>
          </cell>
          <cell r="C33">
            <v>113</v>
          </cell>
        </row>
        <row r="34">
          <cell r="A34" t="str">
            <v>ETB - Etiopian Birr</v>
          </cell>
          <cell r="C34">
            <v>115</v>
          </cell>
        </row>
        <row r="35">
          <cell r="A35" t="str">
            <v>EUR - Euro</v>
          </cell>
          <cell r="C35">
            <v>120</v>
          </cell>
        </row>
        <row r="36">
          <cell r="A36" t="str">
            <v>FJD - Fijian Dollar</v>
          </cell>
          <cell r="C36">
            <v>125</v>
          </cell>
        </row>
        <row r="37">
          <cell r="A37" t="str">
            <v>GBP - British Pound</v>
          </cell>
          <cell r="C37">
            <v>130</v>
          </cell>
        </row>
        <row r="38">
          <cell r="A38" t="str">
            <v>GHS - Ghanaian Cedi</v>
          </cell>
          <cell r="C38">
            <v>135</v>
          </cell>
        </row>
        <row r="39">
          <cell r="A39" t="str">
            <v>GMD - Gambian Dalasi</v>
          </cell>
          <cell r="C39">
            <v>140</v>
          </cell>
        </row>
        <row r="40">
          <cell r="A40" t="str">
            <v>GNF - Guinean Franc</v>
          </cell>
          <cell r="C40">
            <v>145</v>
          </cell>
        </row>
        <row r="41">
          <cell r="A41" t="str">
            <v>GTQ - Guatemalan Quetzal</v>
          </cell>
          <cell r="C41">
            <v>150</v>
          </cell>
        </row>
        <row r="42">
          <cell r="A42" t="str">
            <v>HKD - Hong Kong Dollar</v>
          </cell>
          <cell r="C42">
            <v>155</v>
          </cell>
        </row>
        <row r="43">
          <cell r="A43" t="str">
            <v>HNL - Honduran Lempira</v>
          </cell>
          <cell r="C43">
            <v>158</v>
          </cell>
        </row>
        <row r="44">
          <cell r="A44" t="str">
            <v>HRK - Croatian Kuna</v>
          </cell>
          <cell r="C44">
            <v>160</v>
          </cell>
        </row>
        <row r="45">
          <cell r="A45" t="str">
            <v>HTG - Haitian Gourde</v>
          </cell>
          <cell r="C45">
            <v>165</v>
          </cell>
        </row>
        <row r="46">
          <cell r="A46" t="str">
            <v>HUF - Hungarian Forint</v>
          </cell>
          <cell r="C46">
            <v>170</v>
          </cell>
        </row>
        <row r="47">
          <cell r="A47" t="str">
            <v>IDR - Indonesia Rupiah</v>
          </cell>
          <cell r="C47">
            <v>175</v>
          </cell>
        </row>
        <row r="48">
          <cell r="A48" t="str">
            <v>ILS - Israeli Shekel</v>
          </cell>
          <cell r="C48">
            <v>180</v>
          </cell>
        </row>
        <row r="49">
          <cell r="A49" t="str">
            <v>INR - Indian Rupee</v>
          </cell>
          <cell r="C49">
            <v>185</v>
          </cell>
        </row>
        <row r="50">
          <cell r="A50" t="str">
            <v>IQD - Iraqi Dinar</v>
          </cell>
          <cell r="C50">
            <v>190</v>
          </cell>
        </row>
        <row r="51">
          <cell r="A51" t="str">
            <v>ISK - Icelandic Krona</v>
          </cell>
          <cell r="C51">
            <v>193</v>
          </cell>
        </row>
        <row r="52">
          <cell r="A52" t="str">
            <v>JMD - Jamaican Dollar</v>
          </cell>
          <cell r="C52">
            <v>195</v>
          </cell>
        </row>
        <row r="53">
          <cell r="A53" t="str">
            <v>JOD - Jordanian Dinar</v>
          </cell>
          <cell r="C53">
            <v>200</v>
          </cell>
        </row>
        <row r="54">
          <cell r="A54" t="str">
            <v>JPY - Japanese Yen</v>
          </cell>
          <cell r="C54">
            <v>201</v>
          </cell>
        </row>
        <row r="55">
          <cell r="A55" t="str">
            <v>KES - Kenyan Shilling</v>
          </cell>
          <cell r="C55">
            <v>203</v>
          </cell>
        </row>
        <row r="56">
          <cell r="A56" t="str">
            <v>KHR - Cambodian Riel</v>
          </cell>
          <cell r="C56">
            <v>205</v>
          </cell>
        </row>
        <row r="57">
          <cell r="A57" t="str">
            <v>KMF - Comorial Franc</v>
          </cell>
          <cell r="C57">
            <v>207</v>
          </cell>
        </row>
        <row r="58">
          <cell r="A58" t="str">
            <v>KRW - Korea(South) Won</v>
          </cell>
          <cell r="C58">
            <v>210</v>
          </cell>
        </row>
        <row r="59">
          <cell r="A59" t="str">
            <v>KWD - Kuwait Dinar</v>
          </cell>
          <cell r="C59">
            <v>215</v>
          </cell>
        </row>
        <row r="60">
          <cell r="A60" t="str">
            <v>KYD - Cayman Island Dollar</v>
          </cell>
          <cell r="C60">
            <v>220</v>
          </cell>
        </row>
        <row r="61">
          <cell r="A61" t="str">
            <v>KZT - Kazakhstani Tenge</v>
          </cell>
          <cell r="C61">
            <v>225</v>
          </cell>
        </row>
        <row r="62">
          <cell r="A62" t="str">
            <v>LAK - Lao Kip</v>
          </cell>
          <cell r="C62">
            <v>227</v>
          </cell>
        </row>
        <row r="63">
          <cell r="A63" t="str">
            <v>LBP - Lebanese Pound</v>
          </cell>
          <cell r="C63">
            <v>230</v>
          </cell>
        </row>
        <row r="64">
          <cell r="A64" t="str">
            <v>LKR - Sri Lankan Rupee</v>
          </cell>
          <cell r="C64">
            <v>235</v>
          </cell>
        </row>
        <row r="65">
          <cell r="A65" t="str">
            <v>LRD - Liberian Dollar</v>
          </cell>
          <cell r="C65">
            <v>240</v>
          </cell>
        </row>
        <row r="66">
          <cell r="A66" t="str">
            <v>LSL - Lesotho Loti</v>
          </cell>
          <cell r="C66">
            <v>245</v>
          </cell>
        </row>
        <row r="67">
          <cell r="A67" t="str">
            <v>LTL - Lithuanian Litas</v>
          </cell>
          <cell r="C67">
            <v>250</v>
          </cell>
        </row>
        <row r="68">
          <cell r="A68" t="str">
            <v>LYD - Libyan Dinar</v>
          </cell>
          <cell r="C68">
            <v>255</v>
          </cell>
        </row>
        <row r="69">
          <cell r="A69" t="str">
            <v>MAD - Moroccan Dirham</v>
          </cell>
          <cell r="C69">
            <v>260</v>
          </cell>
        </row>
        <row r="70">
          <cell r="A70" t="str">
            <v>MDL - Moldovan Leu</v>
          </cell>
          <cell r="C70">
            <v>265</v>
          </cell>
        </row>
        <row r="71">
          <cell r="A71" t="str">
            <v>MGA - Malagasy Ariary</v>
          </cell>
          <cell r="C71">
            <v>270</v>
          </cell>
        </row>
        <row r="72">
          <cell r="A72" t="str">
            <v>MKD - Macedonian Denar</v>
          </cell>
          <cell r="C72">
            <v>275</v>
          </cell>
        </row>
        <row r="73">
          <cell r="A73" t="str">
            <v>MMK - Myanmar Kyat</v>
          </cell>
          <cell r="C73">
            <v>280</v>
          </cell>
        </row>
        <row r="74">
          <cell r="A74" t="str">
            <v>MOP - Macanese Pataca</v>
          </cell>
          <cell r="C74">
            <v>285</v>
          </cell>
        </row>
        <row r="75">
          <cell r="A75" t="str">
            <v>MRO - Mauritanian Ouguiya</v>
          </cell>
          <cell r="C75">
            <v>290</v>
          </cell>
        </row>
        <row r="76">
          <cell r="A76" t="str">
            <v>MUR - Mauritian Rupee</v>
          </cell>
          <cell r="C76">
            <v>300</v>
          </cell>
        </row>
        <row r="77">
          <cell r="A77" t="str">
            <v>MVR - Maldivian Rufiyaa</v>
          </cell>
        </row>
        <row r="78">
          <cell r="A78" t="str">
            <v>MWK - Malawian Kwacha</v>
          </cell>
        </row>
        <row r="79">
          <cell r="A79" t="str">
            <v>MXN - Mexican Peso</v>
          </cell>
        </row>
        <row r="80">
          <cell r="A80" t="str">
            <v>MYR - Malaysia Ringgit</v>
          </cell>
        </row>
        <row r="81">
          <cell r="A81" t="str">
            <v>MZN - Mozambican Metical</v>
          </cell>
        </row>
        <row r="82">
          <cell r="A82" t="str">
            <v>NAD - Nambian Dollar</v>
          </cell>
        </row>
        <row r="83">
          <cell r="A83" t="str">
            <v>NGN - Nigerian Naira</v>
          </cell>
        </row>
        <row r="84">
          <cell r="A84" t="str">
            <v>NIO - Nicaraguan Cordoba</v>
          </cell>
        </row>
        <row r="85">
          <cell r="A85" t="str">
            <v>NOK - Norway Krone</v>
          </cell>
        </row>
        <row r="86">
          <cell r="A86" t="str">
            <v>NPR - Nepalese Rupee</v>
          </cell>
        </row>
        <row r="87">
          <cell r="A87" t="str">
            <v>NZD - New Zealand Dollar</v>
          </cell>
        </row>
        <row r="88">
          <cell r="A88" t="str">
            <v>OMR - Omani Rial</v>
          </cell>
        </row>
        <row r="89">
          <cell r="A89" t="str">
            <v>PAB - Panamanian Balboa</v>
          </cell>
        </row>
        <row r="90">
          <cell r="A90" t="str">
            <v>PEN - Peruvian Sol</v>
          </cell>
        </row>
        <row r="91">
          <cell r="A91" t="str">
            <v>PGK - Papua New Guinean Kina</v>
          </cell>
        </row>
        <row r="92">
          <cell r="A92" t="str">
            <v>PHP - Philippine Peso</v>
          </cell>
        </row>
        <row r="93">
          <cell r="A93" t="str">
            <v>PKR - Pakistani Rupee</v>
          </cell>
        </row>
        <row r="94">
          <cell r="A94" t="str">
            <v>PLN - Polish Zloty</v>
          </cell>
        </row>
        <row r="95">
          <cell r="A95" t="str">
            <v>PYG - Paraguayan Guarani</v>
          </cell>
        </row>
        <row r="96">
          <cell r="A96" t="str">
            <v>QAR - Qatari Riyal</v>
          </cell>
        </row>
        <row r="97">
          <cell r="A97" t="str">
            <v>RON - Romanian Leu</v>
          </cell>
        </row>
        <row r="98">
          <cell r="A98" t="str">
            <v>RSD - Serbian Dinar</v>
          </cell>
        </row>
        <row r="99">
          <cell r="A99" t="str">
            <v>RUB - Russia Ruble</v>
          </cell>
        </row>
        <row r="100">
          <cell r="A100" t="str">
            <v>RWF - Rwandan Franc</v>
          </cell>
        </row>
        <row r="101">
          <cell r="A101" t="str">
            <v>SAR - Saudi Arabian Riyal</v>
          </cell>
        </row>
        <row r="102">
          <cell r="A102" t="str">
            <v>SCR - Seychellios Rupee</v>
          </cell>
        </row>
        <row r="103">
          <cell r="A103" t="str">
            <v>SDG - Sudanese Pound</v>
          </cell>
        </row>
        <row r="104">
          <cell r="A104" t="str">
            <v>SEK - Sweden Krona</v>
          </cell>
        </row>
        <row r="105">
          <cell r="A105" t="str">
            <v>SGD - Singapore Dollar</v>
          </cell>
        </row>
        <row r="106">
          <cell r="A106" t="str">
            <v>SHP - Saint Helena Pound</v>
          </cell>
        </row>
        <row r="107">
          <cell r="A107" t="str">
            <v>SLL - Sierra Leonean Leone</v>
          </cell>
        </row>
        <row r="108">
          <cell r="A108" t="str">
            <v>SOS - Somali Shilling</v>
          </cell>
        </row>
        <row r="109">
          <cell r="A109" t="str">
            <v>STD - Sao Tome and Principe Dobra</v>
          </cell>
        </row>
        <row r="110">
          <cell r="A110" t="str">
            <v>SVC - Salvadoran Colon</v>
          </cell>
        </row>
        <row r="111">
          <cell r="A111" t="str">
            <v>SZL - Swazi Lilangeni</v>
          </cell>
        </row>
        <row r="112">
          <cell r="A112" t="str">
            <v>THB - Thai Baht</v>
          </cell>
        </row>
        <row r="113">
          <cell r="A113" t="str">
            <v>TMT - Turkmen Manat</v>
          </cell>
        </row>
        <row r="114">
          <cell r="A114" t="str">
            <v>TND - Tunisian Dinar</v>
          </cell>
        </row>
        <row r="115">
          <cell r="A115" t="str">
            <v>TRY - Turkey Lira</v>
          </cell>
        </row>
        <row r="116">
          <cell r="A116" t="str">
            <v>TTD - Trinidad and Tobago Dollar</v>
          </cell>
        </row>
        <row r="117">
          <cell r="A117" t="str">
            <v>TWD - Taiwan New Dollar</v>
          </cell>
        </row>
        <row r="118">
          <cell r="A118" t="str">
            <v>TZS - Tanzanian Shilling</v>
          </cell>
        </row>
        <row r="119">
          <cell r="A119" t="str">
            <v>UAH - Ukrainian Hryvnia</v>
          </cell>
        </row>
        <row r="120">
          <cell r="A120" t="str">
            <v>UGX - Ugandan Shilling</v>
          </cell>
        </row>
        <row r="121">
          <cell r="A121" t="str">
            <v>USD - US Dollar</v>
          </cell>
        </row>
        <row r="122">
          <cell r="A122" t="str">
            <v>UYU - Uruguayan Peso</v>
          </cell>
        </row>
        <row r="123">
          <cell r="A123" t="str">
            <v>UZS - Uzbekistani Som</v>
          </cell>
        </row>
        <row r="124">
          <cell r="A124" t="str">
            <v>VEF - Venezuelan Bolivar</v>
          </cell>
        </row>
        <row r="125">
          <cell r="A125" t="str">
            <v>VND - Vietnamese Dong</v>
          </cell>
        </row>
        <row r="126">
          <cell r="A126" t="str">
            <v>XAF - Central African Franc</v>
          </cell>
        </row>
        <row r="127">
          <cell r="A127" t="str">
            <v>XCD - East Caribbean Dollar</v>
          </cell>
        </row>
        <row r="128">
          <cell r="A128" t="str">
            <v>XOF - West African Franc</v>
          </cell>
        </row>
        <row r="129">
          <cell r="A129" t="str">
            <v>XPF - CFP Franc</v>
          </cell>
        </row>
        <row r="130">
          <cell r="A130" t="str">
            <v>YER - Yemeni Rial</v>
          </cell>
        </row>
        <row r="131">
          <cell r="A131" t="str">
            <v>ZAR - South Africa Rand</v>
          </cell>
        </row>
      </sheetData>
      <sheetData sheetId="8"/>
      <sheetData sheetId="9"/>
      <sheetData sheetId="10"/>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2B710C-B5DF-C346-86D0-0BB3A26E926B}" name="Table5" displayName="Table5" ref="A2:D24" totalsRowShown="0" headerRowDxfId="364" dataDxfId="363">
  <autoFilter ref="A2:D24" xr:uid="{482BEB28-AAF9-064D-B6AB-A1B18F81D994}"/>
  <tableColumns count="4">
    <tableColumn id="1" xr3:uid="{A4A77213-D8B7-BC4A-B715-C7FBD5C731DD}" name="Component" dataDxfId="362"/>
    <tableColumn id="2" xr3:uid="{8D4AA234-17F6-D743-B7CA-7CBDF29A82FE}" name="Status" dataDxfId="361"/>
    <tableColumn id="3" xr3:uid="{1575A955-A96E-9A4F-9102-40AE8FD9E0D5}" name="Customer Comment" dataDxfId="360"/>
    <tableColumn id="4" xr3:uid="{90577DF3-4D1E-9A44-A6A3-10DDF55E23DB}" name="Notes" dataDxfId="359"/>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6F0A00-9056-334B-9721-1028B6739056}" name="Table3" displayName="Table3" ref="A1:B46" totalsRowShown="0">
  <autoFilter ref="A1:B46" xr:uid="{86A73DA6-45FC-604E-B7CE-6A69B3400855}"/>
  <tableColumns count="2">
    <tableColumn id="1" xr3:uid="{0E270351-6B51-7246-92CF-AE8D52119DF7}" name="Date" dataDxfId="1"/>
    <tableColumn id="2" xr3:uid="{E39F74A0-C8C9-EA40-B444-1BF27772ACE7}" name="Description"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edge-vsan-datastore-name@value=" TargetMode="External"/><Relationship Id="rId13" Type="http://schemas.openxmlformats.org/officeDocument/2006/relationships/hyperlink" Target="mailto:sso-site-name@value=" TargetMode="External"/><Relationship Id="rId18" Type="http://schemas.openxmlformats.org/officeDocument/2006/relationships/hyperlink" Target="mailto:nsx-compute-multicast-address-range@rangeStartIp=239.6.0.0" TargetMode="External"/><Relationship Id="rId3" Type="http://schemas.openxmlformats.org/officeDocument/2006/relationships/hyperlink" Target="mailto:esg-01-compute-edge-device-creation@vPodName=LONEDGE-ESG01" TargetMode="External"/><Relationship Id="rId7" Type="http://schemas.openxmlformats.org/officeDocument/2006/relationships/hyperlink" Target="mailto:logInsight-ad-and-smtp-configuration@useSslForAdIntegration=true" TargetMode="External"/><Relationship Id="rId12" Type="http://schemas.openxmlformats.org/officeDocument/2006/relationships/hyperlink" Target="mailto:vds-management-initial-configuration@dvSwitchName%22" TargetMode="External"/><Relationship Id="rId17" Type="http://schemas.openxmlformats.org/officeDocument/2006/relationships/hyperlink" Target="mailto:nsx-mgmt-multicast-address-range@rangeEndIp=239.5.255.255" TargetMode="External"/><Relationship Id="rId2" Type="http://schemas.openxmlformats.org/officeDocument/2006/relationships/hyperlink" Target="mailto:esg-02-compute-edge-device-creation@vPodName=LONEDGE-ESG02" TargetMode="External"/><Relationship Id="rId16" Type="http://schemas.openxmlformats.org/officeDocument/2006/relationships/hyperlink" Target="mailto:nsx-mgmt-multicast-address-range@rangeStartIp=239.5.0.0" TargetMode="External"/><Relationship Id="rId20" Type="http://schemas.openxmlformats.org/officeDocument/2006/relationships/printerSettings" Target="../printerSettings/printerSettings8.bin"/><Relationship Id="rId1" Type="http://schemas.openxmlformats.org/officeDocument/2006/relationships/hyperlink" Target="mailto:mgmt-load-balancer-creation@vPodName=SFOMGMT-LB01" TargetMode="External"/><Relationship Id="rId6" Type="http://schemas.openxmlformats.org/officeDocument/2006/relationships/hyperlink" Target="../../../../Library/Containers/com.microsoft.Excel/Data/Library/Library/Containers/com.microsoft.Excel/Data/Library/Library/Containers/com.microsoft.Excel/mailto/root-dns-records@records%5b'vrbCollectorIp'%5d=vra01buc01" TargetMode="External"/><Relationship Id="rId11" Type="http://schemas.openxmlformats.org/officeDocument/2006/relationships/hyperlink" Target="mailto:physical-nic-dedicated-to-dvs@value=vmnic1" TargetMode="External"/><Relationship Id="rId5" Type="http://schemas.openxmlformats.org/officeDocument/2006/relationships/hyperlink" Target="mailto:esg-01-mgmt-edge-device-creation@vPodName=LONMGMT-ESG01" TargetMode="External"/><Relationship Id="rId15" Type="http://schemas.openxmlformats.org/officeDocument/2006/relationships/hyperlink" Target="mailto:loginsight-admin-email@value=" TargetMode="External"/><Relationship Id="rId10" Type="http://schemas.openxmlformats.org/officeDocument/2006/relationships/hyperlink" Target="../../../../Library/Containers/com.microsoft.Excel/Data/Library/Library/Containers/com.microsoft.Excel/Data/Library/Library/Containers/com.microsoft.Excel/mailto/vds-management-initial-configuration@dvPortGroups%5b7%5d.name=vDS-Mgmt-VR" TargetMode="External"/><Relationship Id="rId19" Type="http://schemas.openxmlformats.org/officeDocument/2006/relationships/hyperlink" Target="mailto:nsx-compute-multicast-address-range@rangeEndIp=239.6.255.255" TargetMode="External"/><Relationship Id="rId4" Type="http://schemas.openxmlformats.org/officeDocument/2006/relationships/hyperlink" Target="mailto:esg-02-mgmt-edge-device-creation@vPodName=LONMGMT-ESG02" TargetMode="External"/><Relationship Id="rId9" Type="http://schemas.openxmlformats.org/officeDocument/2006/relationships/hyperlink" Target="mailto:management-vsan-datastore-name@value=" TargetMode="External"/><Relationship Id="rId14" Type="http://schemas.openxmlformats.org/officeDocument/2006/relationships/hyperlink" Target="mailto:itac-tenantadmin-credentials@username=ITAC-TenantAdmin@rainpole.local"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administrator@sddc.local" TargetMode="External"/><Relationship Id="rId2" Type="http://schemas.openxmlformats.org/officeDocument/2006/relationships/hyperlink" Target="mailto:administrator@vsphere.local" TargetMode="External"/><Relationship Id="rId1" Type="http://schemas.openxmlformats.org/officeDocument/2006/relationships/hyperlink" Target="mailto:administrator@sddc.loca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0"/>
  <sheetViews>
    <sheetView tabSelected="1" zoomScale="132" zoomScaleNormal="132" zoomScalePageLayoutView="118" workbookViewId="0">
      <pane ySplit="1" topLeftCell="A2" activePane="bottomLeft" state="frozen"/>
      <selection pane="bottomLeft" activeCell="B18" sqref="B18"/>
    </sheetView>
  </sheetViews>
  <sheetFormatPr baseColWidth="10" defaultColWidth="11.5" defaultRowHeight="14"/>
  <cols>
    <col min="1" max="1" width="79.83203125" style="47" customWidth="1"/>
    <col min="2" max="2" width="13" style="48" customWidth="1"/>
    <col min="3" max="3" width="39.83203125" style="47" customWidth="1"/>
    <col min="4" max="4" width="67.6640625" style="47" customWidth="1"/>
    <col min="5" max="5" width="20.6640625" style="45" customWidth="1"/>
    <col min="6" max="13" width="11.5" style="45"/>
    <col min="14" max="254" width="11.5" style="47"/>
    <col min="255" max="255" width="83.6640625" style="47" customWidth="1"/>
    <col min="256" max="256" width="10.6640625" style="47" customWidth="1"/>
    <col min="257" max="257" width="50.6640625" style="47" customWidth="1"/>
    <col min="258" max="258" width="30.6640625" style="47" customWidth="1"/>
    <col min="259" max="260" width="10.6640625" style="47" customWidth="1"/>
    <col min="261" max="261" width="20.6640625" style="47" customWidth="1"/>
    <col min="262" max="510" width="11.5" style="47"/>
    <col min="511" max="511" width="83.6640625" style="47" customWidth="1"/>
    <col min="512" max="512" width="10.6640625" style="47" customWidth="1"/>
    <col min="513" max="513" width="50.6640625" style="47" customWidth="1"/>
    <col min="514" max="514" width="30.6640625" style="47" customWidth="1"/>
    <col min="515" max="516" width="10.6640625" style="47" customWidth="1"/>
    <col min="517" max="517" width="20.6640625" style="47" customWidth="1"/>
    <col min="518" max="766" width="11.5" style="47"/>
    <col min="767" max="767" width="83.6640625" style="47" customWidth="1"/>
    <col min="768" max="768" width="10.6640625" style="47" customWidth="1"/>
    <col min="769" max="769" width="50.6640625" style="47" customWidth="1"/>
    <col min="770" max="770" width="30.6640625" style="47" customWidth="1"/>
    <col min="771" max="772" width="10.6640625" style="47" customWidth="1"/>
    <col min="773" max="773" width="20.6640625" style="47" customWidth="1"/>
    <col min="774" max="1022" width="11.5" style="47"/>
    <col min="1023" max="1023" width="83.6640625" style="47" customWidth="1"/>
    <col min="1024" max="1024" width="10.6640625" style="47" customWidth="1"/>
    <col min="1025" max="1025" width="50.6640625" style="47" customWidth="1"/>
    <col min="1026" max="1026" width="30.6640625" style="47" customWidth="1"/>
    <col min="1027" max="1028" width="10.6640625" style="47" customWidth="1"/>
    <col min="1029" max="1029" width="20.6640625" style="47" customWidth="1"/>
    <col min="1030" max="1278" width="11.5" style="47"/>
    <col min="1279" max="1279" width="83.6640625" style="47" customWidth="1"/>
    <col min="1280" max="1280" width="10.6640625" style="47" customWidth="1"/>
    <col min="1281" max="1281" width="50.6640625" style="47" customWidth="1"/>
    <col min="1282" max="1282" width="30.6640625" style="47" customWidth="1"/>
    <col min="1283" max="1284" width="10.6640625" style="47" customWidth="1"/>
    <col min="1285" max="1285" width="20.6640625" style="47" customWidth="1"/>
    <col min="1286" max="1534" width="11.5" style="47"/>
    <col min="1535" max="1535" width="83.6640625" style="47" customWidth="1"/>
    <col min="1536" max="1536" width="10.6640625" style="47" customWidth="1"/>
    <col min="1537" max="1537" width="50.6640625" style="47" customWidth="1"/>
    <col min="1538" max="1538" width="30.6640625" style="47" customWidth="1"/>
    <col min="1539" max="1540" width="10.6640625" style="47" customWidth="1"/>
    <col min="1541" max="1541" width="20.6640625" style="47" customWidth="1"/>
    <col min="1542" max="1790" width="11.5" style="47"/>
    <col min="1791" max="1791" width="83.6640625" style="47" customWidth="1"/>
    <col min="1792" max="1792" width="10.6640625" style="47" customWidth="1"/>
    <col min="1793" max="1793" width="50.6640625" style="47" customWidth="1"/>
    <col min="1794" max="1794" width="30.6640625" style="47" customWidth="1"/>
    <col min="1795" max="1796" width="10.6640625" style="47" customWidth="1"/>
    <col min="1797" max="1797" width="20.6640625" style="47" customWidth="1"/>
    <col min="1798" max="2046" width="11.5" style="47"/>
    <col min="2047" max="2047" width="83.6640625" style="47" customWidth="1"/>
    <col min="2048" max="2048" width="10.6640625" style="47" customWidth="1"/>
    <col min="2049" max="2049" width="50.6640625" style="47" customWidth="1"/>
    <col min="2050" max="2050" width="30.6640625" style="47" customWidth="1"/>
    <col min="2051" max="2052" width="10.6640625" style="47" customWidth="1"/>
    <col min="2053" max="2053" width="20.6640625" style="47" customWidth="1"/>
    <col min="2054" max="2302" width="11.5" style="47"/>
    <col min="2303" max="2303" width="83.6640625" style="47" customWidth="1"/>
    <col min="2304" max="2304" width="10.6640625" style="47" customWidth="1"/>
    <col min="2305" max="2305" width="50.6640625" style="47" customWidth="1"/>
    <col min="2306" max="2306" width="30.6640625" style="47" customWidth="1"/>
    <col min="2307" max="2308" width="10.6640625" style="47" customWidth="1"/>
    <col min="2309" max="2309" width="20.6640625" style="47" customWidth="1"/>
    <col min="2310" max="2558" width="11.5" style="47"/>
    <col min="2559" max="2559" width="83.6640625" style="47" customWidth="1"/>
    <col min="2560" max="2560" width="10.6640625" style="47" customWidth="1"/>
    <col min="2561" max="2561" width="50.6640625" style="47" customWidth="1"/>
    <col min="2562" max="2562" width="30.6640625" style="47" customWidth="1"/>
    <col min="2563" max="2564" width="10.6640625" style="47" customWidth="1"/>
    <col min="2565" max="2565" width="20.6640625" style="47" customWidth="1"/>
    <col min="2566" max="2814" width="11.5" style="47"/>
    <col min="2815" max="2815" width="83.6640625" style="47" customWidth="1"/>
    <col min="2816" max="2816" width="10.6640625" style="47" customWidth="1"/>
    <col min="2817" max="2817" width="50.6640625" style="47" customWidth="1"/>
    <col min="2818" max="2818" width="30.6640625" style="47" customWidth="1"/>
    <col min="2819" max="2820" width="10.6640625" style="47" customWidth="1"/>
    <col min="2821" max="2821" width="20.6640625" style="47" customWidth="1"/>
    <col min="2822" max="3070" width="11.5" style="47"/>
    <col min="3071" max="3071" width="83.6640625" style="47" customWidth="1"/>
    <col min="3072" max="3072" width="10.6640625" style="47" customWidth="1"/>
    <col min="3073" max="3073" width="50.6640625" style="47" customWidth="1"/>
    <col min="3074" max="3074" width="30.6640625" style="47" customWidth="1"/>
    <col min="3075" max="3076" width="10.6640625" style="47" customWidth="1"/>
    <col min="3077" max="3077" width="20.6640625" style="47" customWidth="1"/>
    <col min="3078" max="3326" width="11.5" style="47"/>
    <col min="3327" max="3327" width="83.6640625" style="47" customWidth="1"/>
    <col min="3328" max="3328" width="10.6640625" style="47" customWidth="1"/>
    <col min="3329" max="3329" width="50.6640625" style="47" customWidth="1"/>
    <col min="3330" max="3330" width="30.6640625" style="47" customWidth="1"/>
    <col min="3331" max="3332" width="10.6640625" style="47" customWidth="1"/>
    <col min="3333" max="3333" width="20.6640625" style="47" customWidth="1"/>
    <col min="3334" max="3582" width="11.5" style="47"/>
    <col min="3583" max="3583" width="83.6640625" style="47" customWidth="1"/>
    <col min="3584" max="3584" width="10.6640625" style="47" customWidth="1"/>
    <col min="3585" max="3585" width="50.6640625" style="47" customWidth="1"/>
    <col min="3586" max="3586" width="30.6640625" style="47" customWidth="1"/>
    <col min="3587" max="3588" width="10.6640625" style="47" customWidth="1"/>
    <col min="3589" max="3589" width="20.6640625" style="47" customWidth="1"/>
    <col min="3590" max="3838" width="11.5" style="47"/>
    <col min="3839" max="3839" width="83.6640625" style="47" customWidth="1"/>
    <col min="3840" max="3840" width="10.6640625" style="47" customWidth="1"/>
    <col min="3841" max="3841" width="50.6640625" style="47" customWidth="1"/>
    <col min="3842" max="3842" width="30.6640625" style="47" customWidth="1"/>
    <col min="3843" max="3844" width="10.6640625" style="47" customWidth="1"/>
    <col min="3845" max="3845" width="20.6640625" style="47" customWidth="1"/>
    <col min="3846" max="4094" width="11.5" style="47"/>
    <col min="4095" max="4095" width="83.6640625" style="47" customWidth="1"/>
    <col min="4096" max="4096" width="10.6640625" style="47" customWidth="1"/>
    <col min="4097" max="4097" width="50.6640625" style="47" customWidth="1"/>
    <col min="4098" max="4098" width="30.6640625" style="47" customWidth="1"/>
    <col min="4099" max="4100" width="10.6640625" style="47" customWidth="1"/>
    <col min="4101" max="4101" width="20.6640625" style="47" customWidth="1"/>
    <col min="4102" max="4350" width="11.5" style="47"/>
    <col min="4351" max="4351" width="83.6640625" style="47" customWidth="1"/>
    <col min="4352" max="4352" width="10.6640625" style="47" customWidth="1"/>
    <col min="4353" max="4353" width="50.6640625" style="47" customWidth="1"/>
    <col min="4354" max="4354" width="30.6640625" style="47" customWidth="1"/>
    <col min="4355" max="4356" width="10.6640625" style="47" customWidth="1"/>
    <col min="4357" max="4357" width="20.6640625" style="47" customWidth="1"/>
    <col min="4358" max="4606" width="11.5" style="47"/>
    <col min="4607" max="4607" width="83.6640625" style="47" customWidth="1"/>
    <col min="4608" max="4608" width="10.6640625" style="47" customWidth="1"/>
    <col min="4609" max="4609" width="50.6640625" style="47" customWidth="1"/>
    <col min="4610" max="4610" width="30.6640625" style="47" customWidth="1"/>
    <col min="4611" max="4612" width="10.6640625" style="47" customWidth="1"/>
    <col min="4613" max="4613" width="20.6640625" style="47" customWidth="1"/>
    <col min="4614" max="4862" width="11.5" style="47"/>
    <col min="4863" max="4863" width="83.6640625" style="47" customWidth="1"/>
    <col min="4864" max="4864" width="10.6640625" style="47" customWidth="1"/>
    <col min="4865" max="4865" width="50.6640625" style="47" customWidth="1"/>
    <col min="4866" max="4866" width="30.6640625" style="47" customWidth="1"/>
    <col min="4867" max="4868" width="10.6640625" style="47" customWidth="1"/>
    <col min="4869" max="4869" width="20.6640625" style="47" customWidth="1"/>
    <col min="4870" max="5118" width="11.5" style="47"/>
    <col min="5119" max="5119" width="83.6640625" style="47" customWidth="1"/>
    <col min="5120" max="5120" width="10.6640625" style="47" customWidth="1"/>
    <col min="5121" max="5121" width="50.6640625" style="47" customWidth="1"/>
    <col min="5122" max="5122" width="30.6640625" style="47" customWidth="1"/>
    <col min="5123" max="5124" width="10.6640625" style="47" customWidth="1"/>
    <col min="5125" max="5125" width="20.6640625" style="47" customWidth="1"/>
    <col min="5126" max="5374" width="11.5" style="47"/>
    <col min="5375" max="5375" width="83.6640625" style="47" customWidth="1"/>
    <col min="5376" max="5376" width="10.6640625" style="47" customWidth="1"/>
    <col min="5377" max="5377" width="50.6640625" style="47" customWidth="1"/>
    <col min="5378" max="5378" width="30.6640625" style="47" customWidth="1"/>
    <col min="5379" max="5380" width="10.6640625" style="47" customWidth="1"/>
    <col min="5381" max="5381" width="20.6640625" style="47" customWidth="1"/>
    <col min="5382" max="5630" width="11.5" style="47"/>
    <col min="5631" max="5631" width="83.6640625" style="47" customWidth="1"/>
    <col min="5632" max="5632" width="10.6640625" style="47" customWidth="1"/>
    <col min="5633" max="5633" width="50.6640625" style="47" customWidth="1"/>
    <col min="5634" max="5634" width="30.6640625" style="47" customWidth="1"/>
    <col min="5635" max="5636" width="10.6640625" style="47" customWidth="1"/>
    <col min="5637" max="5637" width="20.6640625" style="47" customWidth="1"/>
    <col min="5638" max="5886" width="11.5" style="47"/>
    <col min="5887" max="5887" width="83.6640625" style="47" customWidth="1"/>
    <col min="5888" max="5888" width="10.6640625" style="47" customWidth="1"/>
    <col min="5889" max="5889" width="50.6640625" style="47" customWidth="1"/>
    <col min="5890" max="5890" width="30.6640625" style="47" customWidth="1"/>
    <col min="5891" max="5892" width="10.6640625" style="47" customWidth="1"/>
    <col min="5893" max="5893" width="20.6640625" style="47" customWidth="1"/>
    <col min="5894" max="6142" width="11.5" style="47"/>
    <col min="6143" max="6143" width="83.6640625" style="47" customWidth="1"/>
    <col min="6144" max="6144" width="10.6640625" style="47" customWidth="1"/>
    <col min="6145" max="6145" width="50.6640625" style="47" customWidth="1"/>
    <col min="6146" max="6146" width="30.6640625" style="47" customWidth="1"/>
    <col min="6147" max="6148" width="10.6640625" style="47" customWidth="1"/>
    <col min="6149" max="6149" width="20.6640625" style="47" customWidth="1"/>
    <col min="6150" max="6398" width="11.5" style="47"/>
    <col min="6399" max="6399" width="83.6640625" style="47" customWidth="1"/>
    <col min="6400" max="6400" width="10.6640625" style="47" customWidth="1"/>
    <col min="6401" max="6401" width="50.6640625" style="47" customWidth="1"/>
    <col min="6402" max="6402" width="30.6640625" style="47" customWidth="1"/>
    <col min="6403" max="6404" width="10.6640625" style="47" customWidth="1"/>
    <col min="6405" max="6405" width="20.6640625" style="47" customWidth="1"/>
    <col min="6406" max="6654" width="11.5" style="47"/>
    <col min="6655" max="6655" width="83.6640625" style="47" customWidth="1"/>
    <col min="6656" max="6656" width="10.6640625" style="47" customWidth="1"/>
    <col min="6657" max="6657" width="50.6640625" style="47" customWidth="1"/>
    <col min="6658" max="6658" width="30.6640625" style="47" customWidth="1"/>
    <col min="6659" max="6660" width="10.6640625" style="47" customWidth="1"/>
    <col min="6661" max="6661" width="20.6640625" style="47" customWidth="1"/>
    <col min="6662" max="6910" width="11.5" style="47"/>
    <col min="6911" max="6911" width="83.6640625" style="47" customWidth="1"/>
    <col min="6912" max="6912" width="10.6640625" style="47" customWidth="1"/>
    <col min="6913" max="6913" width="50.6640625" style="47" customWidth="1"/>
    <col min="6914" max="6914" width="30.6640625" style="47" customWidth="1"/>
    <col min="6915" max="6916" width="10.6640625" style="47" customWidth="1"/>
    <col min="6917" max="6917" width="20.6640625" style="47" customWidth="1"/>
    <col min="6918" max="7166" width="11.5" style="47"/>
    <col min="7167" max="7167" width="83.6640625" style="47" customWidth="1"/>
    <col min="7168" max="7168" width="10.6640625" style="47" customWidth="1"/>
    <col min="7169" max="7169" width="50.6640625" style="47" customWidth="1"/>
    <col min="7170" max="7170" width="30.6640625" style="47" customWidth="1"/>
    <col min="7171" max="7172" width="10.6640625" style="47" customWidth="1"/>
    <col min="7173" max="7173" width="20.6640625" style="47" customWidth="1"/>
    <col min="7174" max="7422" width="11.5" style="47"/>
    <col min="7423" max="7423" width="83.6640625" style="47" customWidth="1"/>
    <col min="7424" max="7424" width="10.6640625" style="47" customWidth="1"/>
    <col min="7425" max="7425" width="50.6640625" style="47" customWidth="1"/>
    <col min="7426" max="7426" width="30.6640625" style="47" customWidth="1"/>
    <col min="7427" max="7428" width="10.6640625" style="47" customWidth="1"/>
    <col min="7429" max="7429" width="20.6640625" style="47" customWidth="1"/>
    <col min="7430" max="7678" width="11.5" style="47"/>
    <col min="7679" max="7679" width="83.6640625" style="47" customWidth="1"/>
    <col min="7680" max="7680" width="10.6640625" style="47" customWidth="1"/>
    <col min="7681" max="7681" width="50.6640625" style="47" customWidth="1"/>
    <col min="7682" max="7682" width="30.6640625" style="47" customWidth="1"/>
    <col min="7683" max="7684" width="10.6640625" style="47" customWidth="1"/>
    <col min="7685" max="7685" width="20.6640625" style="47" customWidth="1"/>
    <col min="7686" max="7934" width="11.5" style="47"/>
    <col min="7935" max="7935" width="83.6640625" style="47" customWidth="1"/>
    <col min="7936" max="7936" width="10.6640625" style="47" customWidth="1"/>
    <col min="7937" max="7937" width="50.6640625" style="47" customWidth="1"/>
    <col min="7938" max="7938" width="30.6640625" style="47" customWidth="1"/>
    <col min="7939" max="7940" width="10.6640625" style="47" customWidth="1"/>
    <col min="7941" max="7941" width="20.6640625" style="47" customWidth="1"/>
    <col min="7942" max="8190" width="11.5" style="47"/>
    <col min="8191" max="8191" width="83.6640625" style="47" customWidth="1"/>
    <col min="8192" max="8192" width="10.6640625" style="47" customWidth="1"/>
    <col min="8193" max="8193" width="50.6640625" style="47" customWidth="1"/>
    <col min="8194" max="8194" width="30.6640625" style="47" customWidth="1"/>
    <col min="8195" max="8196" width="10.6640625" style="47" customWidth="1"/>
    <col min="8197" max="8197" width="20.6640625" style="47" customWidth="1"/>
    <col min="8198" max="8446" width="11.5" style="47"/>
    <col min="8447" max="8447" width="83.6640625" style="47" customWidth="1"/>
    <col min="8448" max="8448" width="10.6640625" style="47" customWidth="1"/>
    <col min="8449" max="8449" width="50.6640625" style="47" customWidth="1"/>
    <col min="8450" max="8450" width="30.6640625" style="47" customWidth="1"/>
    <col min="8451" max="8452" width="10.6640625" style="47" customWidth="1"/>
    <col min="8453" max="8453" width="20.6640625" style="47" customWidth="1"/>
    <col min="8454" max="8702" width="11.5" style="47"/>
    <col min="8703" max="8703" width="83.6640625" style="47" customWidth="1"/>
    <col min="8704" max="8704" width="10.6640625" style="47" customWidth="1"/>
    <col min="8705" max="8705" width="50.6640625" style="47" customWidth="1"/>
    <col min="8706" max="8706" width="30.6640625" style="47" customWidth="1"/>
    <col min="8707" max="8708" width="10.6640625" style="47" customWidth="1"/>
    <col min="8709" max="8709" width="20.6640625" style="47" customWidth="1"/>
    <col min="8710" max="8958" width="11.5" style="47"/>
    <col min="8959" max="8959" width="83.6640625" style="47" customWidth="1"/>
    <col min="8960" max="8960" width="10.6640625" style="47" customWidth="1"/>
    <col min="8961" max="8961" width="50.6640625" style="47" customWidth="1"/>
    <col min="8962" max="8962" width="30.6640625" style="47" customWidth="1"/>
    <col min="8963" max="8964" width="10.6640625" style="47" customWidth="1"/>
    <col min="8965" max="8965" width="20.6640625" style="47" customWidth="1"/>
    <col min="8966" max="9214" width="11.5" style="47"/>
    <col min="9215" max="9215" width="83.6640625" style="47" customWidth="1"/>
    <col min="9216" max="9216" width="10.6640625" style="47" customWidth="1"/>
    <col min="9217" max="9217" width="50.6640625" style="47" customWidth="1"/>
    <col min="9218" max="9218" width="30.6640625" style="47" customWidth="1"/>
    <col min="9219" max="9220" width="10.6640625" style="47" customWidth="1"/>
    <col min="9221" max="9221" width="20.6640625" style="47" customWidth="1"/>
    <col min="9222" max="9470" width="11.5" style="47"/>
    <col min="9471" max="9471" width="83.6640625" style="47" customWidth="1"/>
    <col min="9472" max="9472" width="10.6640625" style="47" customWidth="1"/>
    <col min="9473" max="9473" width="50.6640625" style="47" customWidth="1"/>
    <col min="9474" max="9474" width="30.6640625" style="47" customWidth="1"/>
    <col min="9475" max="9476" width="10.6640625" style="47" customWidth="1"/>
    <col min="9477" max="9477" width="20.6640625" style="47" customWidth="1"/>
    <col min="9478" max="9726" width="11.5" style="47"/>
    <col min="9727" max="9727" width="83.6640625" style="47" customWidth="1"/>
    <col min="9728" max="9728" width="10.6640625" style="47" customWidth="1"/>
    <col min="9729" max="9729" width="50.6640625" style="47" customWidth="1"/>
    <col min="9730" max="9730" width="30.6640625" style="47" customWidth="1"/>
    <col min="9731" max="9732" width="10.6640625" style="47" customWidth="1"/>
    <col min="9733" max="9733" width="20.6640625" style="47" customWidth="1"/>
    <col min="9734" max="9982" width="11.5" style="47"/>
    <col min="9983" max="9983" width="83.6640625" style="47" customWidth="1"/>
    <col min="9984" max="9984" width="10.6640625" style="47" customWidth="1"/>
    <col min="9985" max="9985" width="50.6640625" style="47" customWidth="1"/>
    <col min="9986" max="9986" width="30.6640625" style="47" customWidth="1"/>
    <col min="9987" max="9988" width="10.6640625" style="47" customWidth="1"/>
    <col min="9989" max="9989" width="20.6640625" style="47" customWidth="1"/>
    <col min="9990" max="10238" width="11.5" style="47"/>
    <col min="10239" max="10239" width="83.6640625" style="47" customWidth="1"/>
    <col min="10240" max="10240" width="10.6640625" style="47" customWidth="1"/>
    <col min="10241" max="10241" width="50.6640625" style="47" customWidth="1"/>
    <col min="10242" max="10242" width="30.6640625" style="47" customWidth="1"/>
    <col min="10243" max="10244" width="10.6640625" style="47" customWidth="1"/>
    <col min="10245" max="10245" width="20.6640625" style="47" customWidth="1"/>
    <col min="10246" max="10494" width="11.5" style="47"/>
    <col min="10495" max="10495" width="83.6640625" style="47" customWidth="1"/>
    <col min="10496" max="10496" width="10.6640625" style="47" customWidth="1"/>
    <col min="10497" max="10497" width="50.6640625" style="47" customWidth="1"/>
    <col min="10498" max="10498" width="30.6640625" style="47" customWidth="1"/>
    <col min="10499" max="10500" width="10.6640625" style="47" customWidth="1"/>
    <col min="10501" max="10501" width="20.6640625" style="47" customWidth="1"/>
    <col min="10502" max="10750" width="11.5" style="47"/>
    <col min="10751" max="10751" width="83.6640625" style="47" customWidth="1"/>
    <col min="10752" max="10752" width="10.6640625" style="47" customWidth="1"/>
    <col min="10753" max="10753" width="50.6640625" style="47" customWidth="1"/>
    <col min="10754" max="10754" width="30.6640625" style="47" customWidth="1"/>
    <col min="10755" max="10756" width="10.6640625" style="47" customWidth="1"/>
    <col min="10757" max="10757" width="20.6640625" style="47" customWidth="1"/>
    <col min="10758" max="11006" width="11.5" style="47"/>
    <col min="11007" max="11007" width="83.6640625" style="47" customWidth="1"/>
    <col min="11008" max="11008" width="10.6640625" style="47" customWidth="1"/>
    <col min="11009" max="11009" width="50.6640625" style="47" customWidth="1"/>
    <col min="11010" max="11010" width="30.6640625" style="47" customWidth="1"/>
    <col min="11011" max="11012" width="10.6640625" style="47" customWidth="1"/>
    <col min="11013" max="11013" width="20.6640625" style="47" customWidth="1"/>
    <col min="11014" max="11262" width="11.5" style="47"/>
    <col min="11263" max="11263" width="83.6640625" style="47" customWidth="1"/>
    <col min="11264" max="11264" width="10.6640625" style="47" customWidth="1"/>
    <col min="11265" max="11265" width="50.6640625" style="47" customWidth="1"/>
    <col min="11266" max="11266" width="30.6640625" style="47" customWidth="1"/>
    <col min="11267" max="11268" width="10.6640625" style="47" customWidth="1"/>
    <col min="11269" max="11269" width="20.6640625" style="47" customWidth="1"/>
    <col min="11270" max="11518" width="11.5" style="47"/>
    <col min="11519" max="11519" width="83.6640625" style="47" customWidth="1"/>
    <col min="11520" max="11520" width="10.6640625" style="47" customWidth="1"/>
    <col min="11521" max="11521" width="50.6640625" style="47" customWidth="1"/>
    <col min="11522" max="11522" width="30.6640625" style="47" customWidth="1"/>
    <col min="11523" max="11524" width="10.6640625" style="47" customWidth="1"/>
    <col min="11525" max="11525" width="20.6640625" style="47" customWidth="1"/>
    <col min="11526" max="11774" width="11.5" style="47"/>
    <col min="11775" max="11775" width="83.6640625" style="47" customWidth="1"/>
    <col min="11776" max="11776" width="10.6640625" style="47" customWidth="1"/>
    <col min="11777" max="11777" width="50.6640625" style="47" customWidth="1"/>
    <col min="11778" max="11778" width="30.6640625" style="47" customWidth="1"/>
    <col min="11779" max="11780" width="10.6640625" style="47" customWidth="1"/>
    <col min="11781" max="11781" width="20.6640625" style="47" customWidth="1"/>
    <col min="11782" max="12030" width="11.5" style="47"/>
    <col min="12031" max="12031" width="83.6640625" style="47" customWidth="1"/>
    <col min="12032" max="12032" width="10.6640625" style="47" customWidth="1"/>
    <col min="12033" max="12033" width="50.6640625" style="47" customWidth="1"/>
    <col min="12034" max="12034" width="30.6640625" style="47" customWidth="1"/>
    <col min="12035" max="12036" width="10.6640625" style="47" customWidth="1"/>
    <col min="12037" max="12037" width="20.6640625" style="47" customWidth="1"/>
    <col min="12038" max="12286" width="11.5" style="47"/>
    <col min="12287" max="12287" width="83.6640625" style="47" customWidth="1"/>
    <col min="12288" max="12288" width="10.6640625" style="47" customWidth="1"/>
    <col min="12289" max="12289" width="50.6640625" style="47" customWidth="1"/>
    <col min="12290" max="12290" width="30.6640625" style="47" customWidth="1"/>
    <col min="12291" max="12292" width="10.6640625" style="47" customWidth="1"/>
    <col min="12293" max="12293" width="20.6640625" style="47" customWidth="1"/>
    <col min="12294" max="12542" width="11.5" style="47"/>
    <col min="12543" max="12543" width="83.6640625" style="47" customWidth="1"/>
    <col min="12544" max="12544" width="10.6640625" style="47" customWidth="1"/>
    <col min="12545" max="12545" width="50.6640625" style="47" customWidth="1"/>
    <col min="12546" max="12546" width="30.6640625" style="47" customWidth="1"/>
    <col min="12547" max="12548" width="10.6640625" style="47" customWidth="1"/>
    <col min="12549" max="12549" width="20.6640625" style="47" customWidth="1"/>
    <col min="12550" max="12798" width="11.5" style="47"/>
    <col min="12799" max="12799" width="83.6640625" style="47" customWidth="1"/>
    <col min="12800" max="12800" width="10.6640625" style="47" customWidth="1"/>
    <col min="12801" max="12801" width="50.6640625" style="47" customWidth="1"/>
    <col min="12802" max="12802" width="30.6640625" style="47" customWidth="1"/>
    <col min="12803" max="12804" width="10.6640625" style="47" customWidth="1"/>
    <col min="12805" max="12805" width="20.6640625" style="47" customWidth="1"/>
    <col min="12806" max="13054" width="11.5" style="47"/>
    <col min="13055" max="13055" width="83.6640625" style="47" customWidth="1"/>
    <col min="13056" max="13056" width="10.6640625" style="47" customWidth="1"/>
    <col min="13057" max="13057" width="50.6640625" style="47" customWidth="1"/>
    <col min="13058" max="13058" width="30.6640625" style="47" customWidth="1"/>
    <col min="13059" max="13060" width="10.6640625" style="47" customWidth="1"/>
    <col min="13061" max="13061" width="20.6640625" style="47" customWidth="1"/>
    <col min="13062" max="13310" width="11.5" style="47"/>
    <col min="13311" max="13311" width="83.6640625" style="47" customWidth="1"/>
    <col min="13312" max="13312" width="10.6640625" style="47" customWidth="1"/>
    <col min="13313" max="13313" width="50.6640625" style="47" customWidth="1"/>
    <col min="13314" max="13314" width="30.6640625" style="47" customWidth="1"/>
    <col min="13315" max="13316" width="10.6640625" style="47" customWidth="1"/>
    <col min="13317" max="13317" width="20.6640625" style="47" customWidth="1"/>
    <col min="13318" max="13566" width="11.5" style="47"/>
    <col min="13567" max="13567" width="83.6640625" style="47" customWidth="1"/>
    <col min="13568" max="13568" width="10.6640625" style="47" customWidth="1"/>
    <col min="13569" max="13569" width="50.6640625" style="47" customWidth="1"/>
    <col min="13570" max="13570" width="30.6640625" style="47" customWidth="1"/>
    <col min="13571" max="13572" width="10.6640625" style="47" customWidth="1"/>
    <col min="13573" max="13573" width="20.6640625" style="47" customWidth="1"/>
    <col min="13574" max="13822" width="11.5" style="47"/>
    <col min="13823" max="13823" width="83.6640625" style="47" customWidth="1"/>
    <col min="13824" max="13824" width="10.6640625" style="47" customWidth="1"/>
    <col min="13825" max="13825" width="50.6640625" style="47" customWidth="1"/>
    <col min="13826" max="13826" width="30.6640625" style="47" customWidth="1"/>
    <col min="13827" max="13828" width="10.6640625" style="47" customWidth="1"/>
    <col min="13829" max="13829" width="20.6640625" style="47" customWidth="1"/>
    <col min="13830" max="14078" width="11.5" style="47"/>
    <col min="14079" max="14079" width="83.6640625" style="47" customWidth="1"/>
    <col min="14080" max="14080" width="10.6640625" style="47" customWidth="1"/>
    <col min="14081" max="14081" width="50.6640625" style="47" customWidth="1"/>
    <col min="14082" max="14082" width="30.6640625" style="47" customWidth="1"/>
    <col min="14083" max="14084" width="10.6640625" style="47" customWidth="1"/>
    <col min="14085" max="14085" width="20.6640625" style="47" customWidth="1"/>
    <col min="14086" max="14334" width="11.5" style="47"/>
    <col min="14335" max="14335" width="83.6640625" style="47" customWidth="1"/>
    <col min="14336" max="14336" width="10.6640625" style="47" customWidth="1"/>
    <col min="14337" max="14337" width="50.6640625" style="47" customWidth="1"/>
    <col min="14338" max="14338" width="30.6640625" style="47" customWidth="1"/>
    <col min="14339" max="14340" width="10.6640625" style="47" customWidth="1"/>
    <col min="14341" max="14341" width="20.6640625" style="47" customWidth="1"/>
    <col min="14342" max="14590" width="11.5" style="47"/>
    <col min="14591" max="14591" width="83.6640625" style="47" customWidth="1"/>
    <col min="14592" max="14592" width="10.6640625" style="47" customWidth="1"/>
    <col min="14593" max="14593" width="50.6640625" style="47" customWidth="1"/>
    <col min="14594" max="14594" width="30.6640625" style="47" customWidth="1"/>
    <col min="14595" max="14596" width="10.6640625" style="47" customWidth="1"/>
    <col min="14597" max="14597" width="20.6640625" style="47" customWidth="1"/>
    <col min="14598" max="14846" width="11.5" style="47"/>
    <col min="14847" max="14847" width="83.6640625" style="47" customWidth="1"/>
    <col min="14848" max="14848" width="10.6640625" style="47" customWidth="1"/>
    <col min="14849" max="14849" width="50.6640625" style="47" customWidth="1"/>
    <col min="14850" max="14850" width="30.6640625" style="47" customWidth="1"/>
    <col min="14851" max="14852" width="10.6640625" style="47" customWidth="1"/>
    <col min="14853" max="14853" width="20.6640625" style="47" customWidth="1"/>
    <col min="14854" max="15102" width="11.5" style="47"/>
    <col min="15103" max="15103" width="83.6640625" style="47" customWidth="1"/>
    <col min="15104" max="15104" width="10.6640625" style="47" customWidth="1"/>
    <col min="15105" max="15105" width="50.6640625" style="47" customWidth="1"/>
    <col min="15106" max="15106" width="30.6640625" style="47" customWidth="1"/>
    <col min="15107" max="15108" width="10.6640625" style="47" customWidth="1"/>
    <col min="15109" max="15109" width="20.6640625" style="47" customWidth="1"/>
    <col min="15110" max="15358" width="11.5" style="47"/>
    <col min="15359" max="15359" width="83.6640625" style="47" customWidth="1"/>
    <col min="15360" max="15360" width="10.6640625" style="47" customWidth="1"/>
    <col min="15361" max="15361" width="50.6640625" style="47" customWidth="1"/>
    <col min="15362" max="15362" width="30.6640625" style="47" customWidth="1"/>
    <col min="15363" max="15364" width="10.6640625" style="47" customWidth="1"/>
    <col min="15365" max="15365" width="20.6640625" style="47" customWidth="1"/>
    <col min="15366" max="15614" width="11.5" style="47"/>
    <col min="15615" max="15615" width="83.6640625" style="47" customWidth="1"/>
    <col min="15616" max="15616" width="10.6640625" style="47" customWidth="1"/>
    <col min="15617" max="15617" width="50.6640625" style="47" customWidth="1"/>
    <col min="15618" max="15618" width="30.6640625" style="47" customWidth="1"/>
    <col min="15619" max="15620" width="10.6640625" style="47" customWidth="1"/>
    <col min="15621" max="15621" width="20.6640625" style="47" customWidth="1"/>
    <col min="15622" max="15870" width="11.5" style="47"/>
    <col min="15871" max="15871" width="83.6640625" style="47" customWidth="1"/>
    <col min="15872" max="15872" width="10.6640625" style="47" customWidth="1"/>
    <col min="15873" max="15873" width="50.6640625" style="47" customWidth="1"/>
    <col min="15874" max="15874" width="30.6640625" style="47" customWidth="1"/>
    <col min="15875" max="15876" width="10.6640625" style="47" customWidth="1"/>
    <col min="15877" max="15877" width="20.6640625" style="47" customWidth="1"/>
    <col min="15878" max="16126" width="11.5" style="47"/>
    <col min="16127" max="16127" width="83.6640625" style="47" customWidth="1"/>
    <col min="16128" max="16128" width="10.6640625" style="47" customWidth="1"/>
    <col min="16129" max="16129" width="50.6640625" style="47" customWidth="1"/>
    <col min="16130" max="16130" width="30.6640625" style="47" customWidth="1"/>
    <col min="16131" max="16132" width="10.6640625" style="47" customWidth="1"/>
    <col min="16133" max="16133" width="20.6640625" style="47" customWidth="1"/>
    <col min="16134" max="16384" width="11.5" style="47"/>
  </cols>
  <sheetData>
    <row r="1" spans="1:13" s="32" customFormat="1" ht="48" customHeight="1">
      <c r="A1" s="31"/>
      <c r="E1" s="33"/>
      <c r="F1" s="33"/>
      <c r="G1" s="33"/>
      <c r="H1" s="33"/>
      <c r="I1" s="33"/>
      <c r="J1" s="33"/>
      <c r="K1" s="33"/>
      <c r="L1" s="33"/>
      <c r="M1" s="33"/>
    </row>
    <row r="2" spans="1:13" s="32" customFormat="1" ht="29" customHeight="1">
      <c r="A2" s="34" t="s">
        <v>744</v>
      </c>
      <c r="B2" s="35" t="s">
        <v>11</v>
      </c>
      <c r="C2" s="36" t="s">
        <v>745</v>
      </c>
      <c r="D2" s="36" t="s">
        <v>12</v>
      </c>
      <c r="E2" s="33"/>
      <c r="F2" s="33"/>
      <c r="G2" s="33"/>
      <c r="H2" s="33"/>
      <c r="I2" s="33"/>
      <c r="J2" s="33"/>
      <c r="K2" s="33"/>
      <c r="L2" s="33"/>
      <c r="M2" s="33"/>
    </row>
    <row r="3" spans="1:13" s="32" customFormat="1" ht="23" customHeight="1">
      <c r="A3" s="37" t="s">
        <v>228</v>
      </c>
      <c r="B3" s="38"/>
      <c r="C3" s="39"/>
      <c r="D3" s="39"/>
      <c r="E3" s="33"/>
      <c r="F3" s="33"/>
      <c r="G3" s="33"/>
      <c r="H3" s="33"/>
      <c r="I3" s="33"/>
      <c r="J3" s="33"/>
      <c r="K3" s="33"/>
      <c r="L3" s="33"/>
      <c r="M3" s="33"/>
    </row>
    <row r="4" spans="1:13" s="32" customFormat="1" ht="28">
      <c r="A4" s="130" t="s">
        <v>1137</v>
      </c>
      <c r="B4" s="131"/>
      <c r="C4" s="132"/>
      <c r="D4" s="130" t="s">
        <v>285</v>
      </c>
      <c r="E4" s="33"/>
      <c r="F4" s="33"/>
      <c r="G4" s="33"/>
      <c r="H4" s="33"/>
      <c r="I4" s="33"/>
      <c r="J4" s="33"/>
      <c r="K4" s="33"/>
      <c r="L4" s="33"/>
      <c r="M4" s="33"/>
    </row>
    <row r="5" spans="1:13" s="32" customFormat="1" ht="84">
      <c r="A5" s="130" t="s">
        <v>1156</v>
      </c>
      <c r="B5" s="131"/>
      <c r="C5" s="132"/>
      <c r="D5" s="130" t="s">
        <v>1138</v>
      </c>
      <c r="E5" s="33"/>
      <c r="F5" s="33"/>
      <c r="G5" s="33"/>
      <c r="H5" s="33"/>
      <c r="I5" s="33"/>
      <c r="J5" s="33"/>
      <c r="K5" s="33"/>
      <c r="L5" s="33"/>
      <c r="M5" s="33"/>
    </row>
    <row r="6" spans="1:13" s="32" customFormat="1" ht="30" customHeight="1">
      <c r="A6" s="130" t="s">
        <v>1136</v>
      </c>
      <c r="B6" s="131"/>
      <c r="C6" s="132"/>
      <c r="D6" s="130"/>
      <c r="E6" s="33"/>
      <c r="F6" s="33"/>
      <c r="G6" s="33"/>
      <c r="H6" s="33"/>
      <c r="I6" s="33"/>
      <c r="J6" s="33"/>
      <c r="K6" s="33"/>
      <c r="L6" s="33"/>
      <c r="M6" s="33"/>
    </row>
    <row r="7" spans="1:13" s="32" customFormat="1" ht="56">
      <c r="A7" s="130" t="s">
        <v>746</v>
      </c>
      <c r="B7" s="131"/>
      <c r="C7" s="133"/>
      <c r="D7" s="130"/>
      <c r="E7" s="33"/>
      <c r="F7" s="33"/>
      <c r="G7" s="33"/>
      <c r="H7" s="33"/>
      <c r="I7" s="33"/>
      <c r="J7" s="33"/>
      <c r="K7" s="33"/>
      <c r="L7" s="33"/>
      <c r="M7" s="33"/>
    </row>
    <row r="8" spans="1:13" s="32" customFormat="1" ht="23" customHeight="1">
      <c r="A8" s="37" t="s">
        <v>747</v>
      </c>
      <c r="B8" s="38"/>
      <c r="C8" s="42"/>
      <c r="D8" s="42"/>
      <c r="E8" s="33"/>
      <c r="F8" s="33"/>
      <c r="G8" s="33"/>
      <c r="H8" s="33"/>
      <c r="I8" s="33"/>
      <c r="J8" s="33"/>
      <c r="K8" s="33"/>
      <c r="L8" s="33"/>
      <c r="M8" s="33"/>
    </row>
    <row r="9" spans="1:13" s="32" customFormat="1" ht="70">
      <c r="A9" s="130" t="s">
        <v>748</v>
      </c>
      <c r="B9" s="131"/>
      <c r="C9" s="132"/>
      <c r="D9" s="130" t="s">
        <v>1139</v>
      </c>
      <c r="E9" s="33"/>
      <c r="F9" s="33"/>
      <c r="G9" s="33"/>
      <c r="H9" s="33"/>
      <c r="I9" s="33"/>
      <c r="J9" s="33"/>
      <c r="K9" s="33"/>
      <c r="L9" s="33"/>
      <c r="M9" s="33"/>
    </row>
    <row r="10" spans="1:13" s="32" customFormat="1" ht="84">
      <c r="A10" s="130" t="s">
        <v>1140</v>
      </c>
      <c r="B10" s="131"/>
      <c r="C10" s="132"/>
      <c r="D10" s="130"/>
      <c r="E10" s="33"/>
      <c r="F10" s="33"/>
      <c r="G10" s="33"/>
      <c r="H10" s="33"/>
      <c r="I10" s="33"/>
      <c r="J10" s="33"/>
      <c r="K10" s="33"/>
      <c r="L10" s="33"/>
      <c r="M10" s="33"/>
    </row>
    <row r="11" spans="1:13" s="32" customFormat="1" ht="56">
      <c r="A11" s="130" t="s">
        <v>749</v>
      </c>
      <c r="B11" s="131"/>
      <c r="C11" s="132"/>
      <c r="D11" s="130"/>
      <c r="E11" s="33"/>
      <c r="F11" s="33"/>
      <c r="G11" s="33"/>
      <c r="H11" s="33"/>
      <c r="I11" s="33"/>
      <c r="J11" s="33"/>
      <c r="K11" s="33"/>
      <c r="L11" s="33"/>
      <c r="M11" s="33"/>
    </row>
    <row r="12" spans="1:13" s="32" customFormat="1" ht="56">
      <c r="A12" s="40" t="s">
        <v>750</v>
      </c>
      <c r="B12" s="41"/>
      <c r="C12" s="40"/>
      <c r="D12" s="40"/>
      <c r="E12" s="33"/>
      <c r="F12" s="33"/>
      <c r="G12" s="33"/>
      <c r="H12" s="33"/>
      <c r="I12" s="33"/>
      <c r="J12" s="33"/>
      <c r="K12" s="33"/>
      <c r="L12" s="33"/>
      <c r="M12" s="33"/>
    </row>
    <row r="13" spans="1:13" s="32" customFormat="1" ht="23" customHeight="1">
      <c r="A13" s="37" t="s">
        <v>751</v>
      </c>
      <c r="B13" s="38"/>
      <c r="C13" s="42"/>
      <c r="D13" s="42"/>
      <c r="E13" s="33"/>
      <c r="F13" s="33"/>
      <c r="G13" s="33"/>
      <c r="H13" s="33"/>
      <c r="I13" s="33"/>
      <c r="J13" s="33"/>
      <c r="K13" s="33"/>
      <c r="L13" s="33"/>
      <c r="M13" s="33"/>
    </row>
    <row r="14" spans="1:13" s="32" customFormat="1" ht="28">
      <c r="A14" s="130" t="s">
        <v>752</v>
      </c>
      <c r="B14" s="131"/>
      <c r="C14" s="132"/>
      <c r="D14" s="130"/>
      <c r="E14" s="33"/>
      <c r="F14" s="33"/>
      <c r="G14" s="33"/>
      <c r="H14" s="33"/>
      <c r="I14" s="33"/>
      <c r="J14" s="33"/>
      <c r="K14" s="33"/>
      <c r="L14" s="33"/>
      <c r="M14" s="33"/>
    </row>
    <row r="15" spans="1:13" s="32" customFormat="1" ht="84">
      <c r="A15" s="130" t="s">
        <v>1141</v>
      </c>
      <c r="B15" s="131"/>
      <c r="C15" s="132"/>
      <c r="D15" s="130" t="s">
        <v>1142</v>
      </c>
      <c r="E15" s="33"/>
      <c r="F15" s="33"/>
      <c r="G15" s="33"/>
      <c r="H15" s="33"/>
      <c r="I15" s="33"/>
      <c r="J15" s="33"/>
      <c r="K15" s="33"/>
      <c r="L15" s="33"/>
      <c r="M15" s="33"/>
    </row>
    <row r="16" spans="1:13" s="32" customFormat="1" ht="23" customHeight="1">
      <c r="A16" s="37" t="s">
        <v>201</v>
      </c>
      <c r="B16" s="38"/>
      <c r="C16" s="42"/>
      <c r="D16" s="42"/>
      <c r="E16" s="33"/>
      <c r="F16" s="33"/>
      <c r="G16" s="33"/>
      <c r="H16" s="33"/>
      <c r="I16" s="33"/>
      <c r="J16" s="33"/>
      <c r="K16" s="33"/>
      <c r="L16" s="33"/>
      <c r="M16" s="33"/>
    </row>
    <row r="17" spans="1:13" s="32" customFormat="1" ht="42">
      <c r="A17" s="40" t="s">
        <v>753</v>
      </c>
      <c r="B17" s="41"/>
      <c r="C17" s="40"/>
      <c r="D17" s="130"/>
      <c r="E17" s="33"/>
      <c r="F17" s="33"/>
      <c r="G17" s="33"/>
      <c r="H17" s="33"/>
      <c r="I17" s="33"/>
      <c r="J17" s="33"/>
      <c r="K17" s="33"/>
      <c r="L17" s="33"/>
      <c r="M17" s="33"/>
    </row>
    <row r="18" spans="1:13" s="32" customFormat="1" ht="154">
      <c r="A18" s="40" t="s">
        <v>1143</v>
      </c>
      <c r="B18" s="131"/>
      <c r="C18" s="40"/>
      <c r="D18" s="130" t="s">
        <v>1144</v>
      </c>
      <c r="E18" s="33"/>
      <c r="F18" s="33"/>
      <c r="G18" s="33"/>
      <c r="H18" s="33"/>
      <c r="I18" s="33"/>
      <c r="J18" s="33"/>
      <c r="K18" s="33"/>
      <c r="L18" s="33"/>
      <c r="M18" s="33"/>
    </row>
    <row r="19" spans="1:13" s="32" customFormat="1" ht="21">
      <c r="A19" s="37" t="s">
        <v>1157</v>
      </c>
      <c r="B19" s="38"/>
      <c r="C19" s="42"/>
      <c r="D19" s="42"/>
      <c r="E19" s="33"/>
      <c r="F19" s="33"/>
      <c r="G19" s="33"/>
      <c r="H19" s="33"/>
      <c r="I19" s="33"/>
      <c r="J19" s="33"/>
      <c r="K19" s="33"/>
      <c r="L19" s="33"/>
      <c r="M19" s="33"/>
    </row>
    <row r="20" spans="1:13" s="32" customFormat="1" ht="28">
      <c r="A20" s="130" t="s">
        <v>1145</v>
      </c>
      <c r="B20" s="131"/>
      <c r="C20" s="132"/>
      <c r="D20" s="130" t="s">
        <v>1146</v>
      </c>
      <c r="E20" s="33"/>
      <c r="F20" s="33"/>
      <c r="G20" s="33"/>
      <c r="H20" s="33"/>
      <c r="I20" s="33"/>
      <c r="J20" s="33"/>
      <c r="K20" s="33"/>
      <c r="L20" s="33"/>
      <c r="M20" s="33"/>
    </row>
    <row r="21" spans="1:13" s="32" customFormat="1" ht="56">
      <c r="A21" s="130" t="s">
        <v>754</v>
      </c>
      <c r="B21" s="131"/>
      <c r="C21" s="132"/>
      <c r="D21" s="130"/>
      <c r="E21" s="33"/>
      <c r="F21" s="33"/>
      <c r="G21" s="33"/>
      <c r="H21" s="33"/>
      <c r="I21" s="33"/>
      <c r="J21" s="33"/>
      <c r="K21" s="33"/>
      <c r="L21" s="33"/>
      <c r="M21" s="33"/>
    </row>
    <row r="22" spans="1:13" s="32" customFormat="1" ht="23" customHeight="1">
      <c r="A22" s="37" t="s">
        <v>1158</v>
      </c>
      <c r="B22" s="38"/>
      <c r="C22" s="42"/>
      <c r="D22" s="42"/>
      <c r="E22" s="33"/>
      <c r="F22" s="33"/>
      <c r="G22" s="33"/>
      <c r="H22" s="33"/>
      <c r="I22" s="33"/>
      <c r="J22" s="33"/>
      <c r="K22" s="33"/>
      <c r="L22" s="33"/>
      <c r="M22" s="33"/>
    </row>
    <row r="23" spans="1:13" s="32" customFormat="1" ht="42">
      <c r="A23" s="40" t="s">
        <v>1147</v>
      </c>
      <c r="B23" s="131"/>
      <c r="C23" s="132"/>
      <c r="D23" s="40" t="s">
        <v>1159</v>
      </c>
      <c r="E23" s="33"/>
      <c r="F23" s="33"/>
      <c r="G23" s="33"/>
      <c r="H23" s="33"/>
      <c r="I23" s="33"/>
      <c r="J23" s="33"/>
      <c r="K23" s="33"/>
      <c r="L23" s="33"/>
      <c r="M23" s="33"/>
    </row>
    <row r="24" spans="1:13" s="32" customFormat="1" ht="10" customHeight="1">
      <c r="A24" s="43"/>
      <c r="B24" s="44"/>
      <c r="C24" s="43"/>
      <c r="D24" s="43"/>
      <c r="E24" s="33"/>
      <c r="F24" s="33"/>
      <c r="G24" s="33"/>
      <c r="H24" s="33"/>
      <c r="I24" s="33"/>
      <c r="J24" s="33"/>
      <c r="K24" s="33"/>
      <c r="L24" s="33"/>
      <c r="M24" s="33"/>
    </row>
    <row r="25" spans="1:13" s="45" customFormat="1">
      <c r="B25" s="46"/>
    </row>
    <row r="26" spans="1:13" s="45" customFormat="1">
      <c r="B26" s="46"/>
    </row>
    <row r="27" spans="1:13" s="45" customFormat="1">
      <c r="B27" s="46"/>
    </row>
    <row r="28" spans="1:13" s="45" customFormat="1">
      <c r="B28" s="46"/>
    </row>
    <row r="29" spans="1:13" s="45" customFormat="1">
      <c r="B29" s="46"/>
    </row>
    <row r="30" spans="1:13" s="45" customFormat="1">
      <c r="B30" s="46"/>
    </row>
    <row r="31" spans="1:13" s="45" customFormat="1">
      <c r="B31" s="46"/>
    </row>
    <row r="32" spans="1:13" s="45" customFormat="1">
      <c r="B32" s="46"/>
    </row>
    <row r="33" spans="2:2" s="45" customFormat="1">
      <c r="B33" s="46"/>
    </row>
    <row r="34" spans="2:2" s="45" customFormat="1">
      <c r="B34" s="46"/>
    </row>
    <row r="35" spans="2:2" s="45" customFormat="1">
      <c r="B35" s="46"/>
    </row>
    <row r="36" spans="2:2" s="45" customFormat="1">
      <c r="B36" s="46"/>
    </row>
    <row r="37" spans="2:2" s="45" customFormat="1">
      <c r="B37" s="46"/>
    </row>
    <row r="38" spans="2:2" s="45" customFormat="1">
      <c r="B38" s="46"/>
    </row>
    <row r="39" spans="2:2" s="45" customFormat="1">
      <c r="B39" s="46"/>
    </row>
    <row r="40" spans="2:2" s="45" customFormat="1">
      <c r="B40" s="46"/>
    </row>
    <row r="41" spans="2:2" s="45" customFormat="1">
      <c r="B41" s="46"/>
    </row>
    <row r="42" spans="2:2" s="45" customFormat="1">
      <c r="B42" s="46"/>
    </row>
    <row r="43" spans="2:2" s="45" customFormat="1">
      <c r="B43" s="46"/>
    </row>
    <row r="44" spans="2:2" s="45" customFormat="1">
      <c r="B44" s="46"/>
    </row>
    <row r="45" spans="2:2" s="45" customFormat="1">
      <c r="B45" s="46"/>
    </row>
    <row r="46" spans="2:2" s="45" customFormat="1">
      <c r="B46" s="46"/>
    </row>
    <row r="47" spans="2:2" s="45" customFormat="1">
      <c r="B47" s="46"/>
    </row>
    <row r="48" spans="2:2" s="45" customFormat="1">
      <c r="B48" s="46"/>
    </row>
    <row r="49" spans="2:2" s="45" customFormat="1">
      <c r="B49" s="46"/>
    </row>
    <row r="50" spans="2:2" s="45" customFormat="1">
      <c r="B50" s="46"/>
    </row>
    <row r="51" spans="2:2" s="45" customFormat="1">
      <c r="B51" s="46"/>
    </row>
    <row r="52" spans="2:2" s="45" customFormat="1">
      <c r="B52" s="46"/>
    </row>
    <row r="53" spans="2:2" s="45" customFormat="1">
      <c r="B53" s="46"/>
    </row>
    <row r="54" spans="2:2" s="45" customFormat="1">
      <c r="B54" s="46"/>
    </row>
    <row r="55" spans="2:2" s="45" customFormat="1">
      <c r="B55" s="46"/>
    </row>
    <row r="56" spans="2:2" s="45" customFormat="1">
      <c r="B56" s="46"/>
    </row>
    <row r="57" spans="2:2" s="45" customFormat="1">
      <c r="B57" s="46"/>
    </row>
    <row r="58" spans="2:2" s="45" customFormat="1">
      <c r="B58" s="46"/>
    </row>
    <row r="59" spans="2:2" s="45" customFormat="1">
      <c r="B59" s="46"/>
    </row>
    <row r="60" spans="2:2" s="45" customFormat="1">
      <c r="B60" s="46"/>
    </row>
    <row r="61" spans="2:2" s="45" customFormat="1">
      <c r="B61" s="46"/>
    </row>
    <row r="62" spans="2:2" s="45" customFormat="1">
      <c r="B62" s="46"/>
    </row>
    <row r="63" spans="2:2" s="45" customFormat="1">
      <c r="B63" s="46"/>
    </row>
    <row r="64" spans="2:2" s="45" customFormat="1">
      <c r="B64" s="46"/>
    </row>
    <row r="65" spans="2:2" s="45" customFormat="1">
      <c r="B65" s="46"/>
    </row>
    <row r="66" spans="2:2" s="45" customFormat="1">
      <c r="B66" s="46"/>
    </row>
    <row r="67" spans="2:2" s="45" customFormat="1">
      <c r="B67" s="46"/>
    </row>
    <row r="68" spans="2:2" s="45" customFormat="1">
      <c r="B68" s="46"/>
    </row>
    <row r="69" spans="2:2" s="45" customFormat="1">
      <c r="B69" s="46"/>
    </row>
    <row r="70" spans="2:2" s="45" customFormat="1">
      <c r="B70" s="46"/>
    </row>
    <row r="71" spans="2:2" s="45" customFormat="1">
      <c r="B71" s="46"/>
    </row>
    <row r="72" spans="2:2" s="45" customFormat="1">
      <c r="B72" s="46"/>
    </row>
    <row r="73" spans="2:2" s="45" customFormat="1">
      <c r="B73" s="46"/>
    </row>
    <row r="74" spans="2:2" s="45" customFormat="1">
      <c r="B74" s="46"/>
    </row>
    <row r="75" spans="2:2" s="45" customFormat="1">
      <c r="B75" s="46"/>
    </row>
    <row r="76" spans="2:2" s="45" customFormat="1">
      <c r="B76" s="46"/>
    </row>
    <row r="77" spans="2:2" s="45" customFormat="1">
      <c r="B77" s="46"/>
    </row>
    <row r="78" spans="2:2" s="45" customFormat="1">
      <c r="B78" s="46"/>
    </row>
    <row r="79" spans="2:2" s="45" customFormat="1">
      <c r="B79" s="46"/>
    </row>
    <row r="80" spans="2:2" s="45" customFormat="1">
      <c r="B80" s="46"/>
    </row>
    <row r="81" spans="2:2" s="45" customFormat="1">
      <c r="B81" s="46"/>
    </row>
    <row r="82" spans="2:2" s="45" customFormat="1">
      <c r="B82" s="46"/>
    </row>
    <row r="83" spans="2:2" s="45" customFormat="1">
      <c r="B83" s="46"/>
    </row>
    <row r="84" spans="2:2" s="45" customFormat="1">
      <c r="B84" s="46"/>
    </row>
    <row r="85" spans="2:2" s="45" customFormat="1">
      <c r="B85" s="46"/>
    </row>
    <row r="86" spans="2:2" s="45" customFormat="1">
      <c r="B86" s="46"/>
    </row>
    <row r="87" spans="2:2" s="45" customFormat="1">
      <c r="B87" s="46"/>
    </row>
    <row r="88" spans="2:2" s="45" customFormat="1">
      <c r="B88" s="46"/>
    </row>
    <row r="89" spans="2:2" s="45" customFormat="1">
      <c r="B89" s="46"/>
    </row>
    <row r="90" spans="2:2" s="45" customFormat="1">
      <c r="B90" s="46"/>
    </row>
    <row r="91" spans="2:2" s="45" customFormat="1">
      <c r="B91" s="46"/>
    </row>
    <row r="92" spans="2:2" s="45" customFormat="1">
      <c r="B92" s="46"/>
    </row>
    <row r="93" spans="2:2" s="45" customFormat="1">
      <c r="B93" s="46"/>
    </row>
    <row r="94" spans="2:2" s="45" customFormat="1">
      <c r="B94" s="46"/>
    </row>
    <row r="95" spans="2:2" s="45" customFormat="1">
      <c r="B95" s="46"/>
    </row>
    <row r="96" spans="2:2" s="45" customFormat="1">
      <c r="B96" s="46"/>
    </row>
    <row r="97" spans="2:2" s="45" customFormat="1">
      <c r="B97" s="46"/>
    </row>
    <row r="98" spans="2:2" s="45" customFormat="1">
      <c r="B98" s="46"/>
    </row>
    <row r="99" spans="2:2" s="45" customFormat="1">
      <c r="B99" s="46"/>
    </row>
    <row r="100" spans="2:2" s="45" customFormat="1">
      <c r="B100" s="46"/>
    </row>
    <row r="101" spans="2:2" s="45" customFormat="1">
      <c r="B101" s="46"/>
    </row>
    <row r="102" spans="2:2" s="45" customFormat="1">
      <c r="B102" s="46"/>
    </row>
    <row r="103" spans="2:2" s="45" customFormat="1">
      <c r="B103" s="46"/>
    </row>
    <row r="104" spans="2:2" s="45" customFormat="1">
      <c r="B104" s="46"/>
    </row>
    <row r="105" spans="2:2" s="45" customFormat="1">
      <c r="B105" s="46"/>
    </row>
    <row r="106" spans="2:2" s="45" customFormat="1">
      <c r="B106" s="46"/>
    </row>
    <row r="107" spans="2:2" s="45" customFormat="1">
      <c r="B107" s="46"/>
    </row>
    <row r="108" spans="2:2" s="45" customFormat="1">
      <c r="B108" s="46"/>
    </row>
    <row r="109" spans="2:2" s="45" customFormat="1">
      <c r="B109" s="46"/>
    </row>
    <row r="110" spans="2:2" s="45" customFormat="1">
      <c r="B110" s="46"/>
    </row>
    <row r="111" spans="2:2" s="45" customFormat="1">
      <c r="B111" s="46"/>
    </row>
    <row r="112" spans="2:2" s="45" customFormat="1">
      <c r="B112" s="46"/>
    </row>
    <row r="113" spans="2:2" s="45" customFormat="1">
      <c r="B113" s="46"/>
    </row>
    <row r="114" spans="2:2" s="45" customFormat="1">
      <c r="B114" s="46"/>
    </row>
    <row r="115" spans="2:2" s="45" customFormat="1">
      <c r="B115" s="46"/>
    </row>
    <row r="116" spans="2:2" s="45" customFormat="1">
      <c r="B116" s="46"/>
    </row>
    <row r="117" spans="2:2" s="45" customFormat="1">
      <c r="B117" s="46"/>
    </row>
    <row r="118" spans="2:2" s="45" customFormat="1">
      <c r="B118" s="46"/>
    </row>
    <row r="119" spans="2:2" s="45" customFormat="1">
      <c r="B119" s="46"/>
    </row>
    <row r="120" spans="2:2" s="45" customFormat="1">
      <c r="B120" s="46"/>
    </row>
    <row r="121" spans="2:2" s="45" customFormat="1">
      <c r="B121" s="46"/>
    </row>
    <row r="122" spans="2:2" s="45" customFormat="1">
      <c r="B122" s="46"/>
    </row>
    <row r="123" spans="2:2" s="45" customFormat="1">
      <c r="B123" s="46"/>
    </row>
    <row r="124" spans="2:2" s="45" customFormat="1">
      <c r="B124" s="46"/>
    </row>
    <row r="125" spans="2:2" s="45" customFormat="1">
      <c r="B125" s="46"/>
    </row>
    <row r="126" spans="2:2" s="45" customFormat="1">
      <c r="B126" s="46"/>
    </row>
    <row r="127" spans="2:2" s="45" customFormat="1">
      <c r="B127" s="46"/>
    </row>
    <row r="128" spans="2:2" s="45" customFormat="1">
      <c r="B128" s="46"/>
    </row>
    <row r="129" spans="2:2" s="45" customFormat="1">
      <c r="B129" s="46"/>
    </row>
    <row r="130" spans="2:2" s="45" customFormat="1">
      <c r="B130" s="46"/>
    </row>
    <row r="131" spans="2:2" s="45" customFormat="1">
      <c r="B131" s="46"/>
    </row>
    <row r="132" spans="2:2" s="45" customFormat="1">
      <c r="B132" s="46"/>
    </row>
    <row r="133" spans="2:2" s="45" customFormat="1">
      <c r="B133" s="46"/>
    </row>
    <row r="134" spans="2:2" s="45" customFormat="1">
      <c r="B134" s="46"/>
    </row>
    <row r="135" spans="2:2" s="45" customFormat="1">
      <c r="B135" s="46"/>
    </row>
    <row r="136" spans="2:2" s="45" customFormat="1">
      <c r="B136" s="46"/>
    </row>
    <row r="137" spans="2:2" s="45" customFormat="1">
      <c r="B137" s="46"/>
    </row>
    <row r="138" spans="2:2" s="45" customFormat="1">
      <c r="B138" s="46"/>
    </row>
    <row r="139" spans="2:2" s="45" customFormat="1">
      <c r="B139" s="46"/>
    </row>
    <row r="140" spans="2:2" s="45" customFormat="1">
      <c r="B140" s="46"/>
    </row>
    <row r="141" spans="2:2" s="45" customFormat="1">
      <c r="B141" s="46"/>
    </row>
    <row r="142" spans="2:2" s="45" customFormat="1">
      <c r="B142" s="46"/>
    </row>
    <row r="143" spans="2:2" s="45" customFormat="1">
      <c r="B143" s="46"/>
    </row>
    <row r="144" spans="2:2" s="45" customFormat="1">
      <c r="B144" s="46"/>
    </row>
    <row r="145" spans="2:2" s="45" customFormat="1">
      <c r="B145" s="46"/>
    </row>
    <row r="146" spans="2:2" s="45" customFormat="1">
      <c r="B146" s="46"/>
    </row>
    <row r="147" spans="2:2" s="45" customFormat="1">
      <c r="B147" s="46"/>
    </row>
    <row r="148" spans="2:2" s="45" customFormat="1">
      <c r="B148" s="46"/>
    </row>
    <row r="149" spans="2:2" s="45" customFormat="1">
      <c r="B149" s="46"/>
    </row>
    <row r="150" spans="2:2" s="45" customFormat="1">
      <c r="B150" s="46"/>
    </row>
    <row r="151" spans="2:2" s="45" customFormat="1">
      <c r="B151" s="46"/>
    </row>
    <row r="152" spans="2:2" s="45" customFormat="1">
      <c r="B152" s="46"/>
    </row>
    <row r="153" spans="2:2" s="45" customFormat="1">
      <c r="B153" s="46"/>
    </row>
    <row r="154" spans="2:2" s="45" customFormat="1">
      <c r="B154" s="46"/>
    </row>
    <row r="155" spans="2:2" s="45" customFormat="1">
      <c r="B155" s="46"/>
    </row>
    <row r="156" spans="2:2" s="45" customFormat="1">
      <c r="B156" s="46"/>
    </row>
    <row r="157" spans="2:2" s="45" customFormat="1">
      <c r="B157" s="46"/>
    </row>
    <row r="158" spans="2:2" s="45" customFormat="1">
      <c r="B158" s="46"/>
    </row>
    <row r="159" spans="2:2" s="45" customFormat="1">
      <c r="B159" s="46"/>
    </row>
    <row r="160" spans="2:2" s="45" customFormat="1">
      <c r="B160" s="46"/>
    </row>
    <row r="161" spans="2:2" s="45" customFormat="1">
      <c r="B161" s="46"/>
    </row>
    <row r="162" spans="2:2" s="45" customFormat="1">
      <c r="B162" s="46"/>
    </row>
    <row r="163" spans="2:2" s="45" customFormat="1">
      <c r="B163" s="46"/>
    </row>
    <row r="164" spans="2:2" s="45" customFormat="1">
      <c r="B164" s="46"/>
    </row>
    <row r="165" spans="2:2" s="45" customFormat="1">
      <c r="B165" s="46"/>
    </row>
    <row r="166" spans="2:2" s="45" customFormat="1">
      <c r="B166" s="46"/>
    </row>
    <row r="167" spans="2:2" s="45" customFormat="1">
      <c r="B167" s="46"/>
    </row>
    <row r="168" spans="2:2" s="45" customFormat="1">
      <c r="B168" s="46"/>
    </row>
    <row r="169" spans="2:2" s="45" customFormat="1">
      <c r="B169" s="46"/>
    </row>
    <row r="170" spans="2:2" s="45" customFormat="1">
      <c r="B170" s="46"/>
    </row>
    <row r="171" spans="2:2" s="45" customFormat="1">
      <c r="B171" s="46"/>
    </row>
    <row r="172" spans="2:2" s="45" customFormat="1">
      <c r="B172" s="46"/>
    </row>
    <row r="173" spans="2:2" s="45" customFormat="1">
      <c r="B173" s="46"/>
    </row>
    <row r="174" spans="2:2" s="45" customFormat="1">
      <c r="B174" s="46"/>
    </row>
    <row r="175" spans="2:2" s="45" customFormat="1">
      <c r="B175" s="46"/>
    </row>
    <row r="176" spans="2:2" s="45" customFormat="1">
      <c r="B176" s="46"/>
    </row>
    <row r="177" spans="2:2" s="45" customFormat="1">
      <c r="B177" s="46"/>
    </row>
    <row r="178" spans="2:2" s="45" customFormat="1">
      <c r="B178" s="46"/>
    </row>
    <row r="179" spans="2:2" s="45" customFormat="1">
      <c r="B179" s="46"/>
    </row>
    <row r="180" spans="2:2" s="45" customFormat="1">
      <c r="B180" s="46"/>
    </row>
    <row r="181" spans="2:2" s="45" customFormat="1">
      <c r="B181" s="46"/>
    </row>
    <row r="182" spans="2:2" s="45" customFormat="1">
      <c r="B182" s="46"/>
    </row>
    <row r="183" spans="2:2" s="45" customFormat="1">
      <c r="B183" s="46"/>
    </row>
    <row r="184" spans="2:2" s="45" customFormat="1">
      <c r="B184" s="46"/>
    </row>
    <row r="185" spans="2:2" s="45" customFormat="1">
      <c r="B185" s="46"/>
    </row>
    <row r="186" spans="2:2" s="45" customFormat="1">
      <c r="B186" s="46"/>
    </row>
    <row r="187" spans="2:2" s="45" customFormat="1">
      <c r="B187" s="46"/>
    </row>
    <row r="188" spans="2:2" s="45" customFormat="1">
      <c r="B188" s="46"/>
    </row>
    <row r="189" spans="2:2" s="45" customFormat="1">
      <c r="B189" s="46"/>
    </row>
    <row r="190" spans="2:2" s="45" customFormat="1">
      <c r="B190" s="46"/>
    </row>
    <row r="191" spans="2:2" s="45" customFormat="1">
      <c r="B191" s="46"/>
    </row>
    <row r="192" spans="2:2" s="45" customFormat="1">
      <c r="B192" s="46"/>
    </row>
    <row r="193" spans="2:2" s="45" customFormat="1">
      <c r="B193" s="46"/>
    </row>
    <row r="194" spans="2:2" s="45" customFormat="1">
      <c r="B194" s="46"/>
    </row>
    <row r="195" spans="2:2" s="45" customFormat="1">
      <c r="B195" s="46"/>
    </row>
    <row r="196" spans="2:2" s="45" customFormat="1">
      <c r="B196" s="46"/>
    </row>
    <row r="197" spans="2:2" s="45" customFormat="1">
      <c r="B197" s="46"/>
    </row>
    <row r="198" spans="2:2" s="45" customFormat="1">
      <c r="B198" s="46"/>
    </row>
    <row r="199" spans="2:2" s="45" customFormat="1">
      <c r="B199" s="46"/>
    </row>
    <row r="200" spans="2:2" s="45" customFormat="1">
      <c r="B200" s="46"/>
    </row>
    <row r="201" spans="2:2" s="45" customFormat="1">
      <c r="B201" s="46"/>
    </row>
    <row r="202" spans="2:2" s="45" customFormat="1">
      <c r="B202" s="46"/>
    </row>
    <row r="203" spans="2:2" s="45" customFormat="1">
      <c r="B203" s="46"/>
    </row>
    <row r="204" spans="2:2" s="45" customFormat="1">
      <c r="B204" s="46"/>
    </row>
    <row r="205" spans="2:2" s="45" customFormat="1">
      <c r="B205" s="46"/>
    </row>
    <row r="206" spans="2:2" s="45" customFormat="1">
      <c r="B206" s="46"/>
    </row>
    <row r="207" spans="2:2" s="45" customFormat="1">
      <c r="B207" s="46"/>
    </row>
    <row r="208" spans="2:2" s="45" customFormat="1">
      <c r="B208" s="46"/>
    </row>
    <row r="209" spans="2:2" s="45" customFormat="1">
      <c r="B209" s="46"/>
    </row>
    <row r="210" spans="2:2" s="45" customFormat="1">
      <c r="B210" s="46"/>
    </row>
    <row r="211" spans="2:2" s="45" customFormat="1">
      <c r="B211" s="46"/>
    </row>
    <row r="212" spans="2:2" s="45" customFormat="1">
      <c r="B212" s="46"/>
    </row>
    <row r="213" spans="2:2" s="45" customFormat="1">
      <c r="B213" s="46"/>
    </row>
    <row r="214" spans="2:2" s="45" customFormat="1">
      <c r="B214" s="46"/>
    </row>
    <row r="215" spans="2:2" s="45" customFormat="1">
      <c r="B215" s="46"/>
    </row>
    <row r="216" spans="2:2" s="45" customFormat="1">
      <c r="B216" s="46"/>
    </row>
    <row r="217" spans="2:2" s="45" customFormat="1">
      <c r="B217" s="46"/>
    </row>
    <row r="218" spans="2:2" s="45" customFormat="1">
      <c r="B218" s="46"/>
    </row>
    <row r="219" spans="2:2" s="45" customFormat="1">
      <c r="B219" s="46"/>
    </row>
    <row r="220" spans="2:2" s="45" customFormat="1">
      <c r="B220" s="46"/>
    </row>
    <row r="221" spans="2:2" s="45" customFormat="1">
      <c r="B221" s="46"/>
    </row>
    <row r="222" spans="2:2" s="45" customFormat="1">
      <c r="B222" s="46"/>
    </row>
    <row r="223" spans="2:2" s="45" customFormat="1">
      <c r="B223" s="46"/>
    </row>
    <row r="224" spans="2:2" s="45" customFormat="1">
      <c r="B224" s="46"/>
    </row>
    <row r="225" spans="2:2" s="45" customFormat="1">
      <c r="B225" s="46"/>
    </row>
    <row r="226" spans="2:2" s="45" customFormat="1">
      <c r="B226" s="46"/>
    </row>
    <row r="227" spans="2:2" s="45" customFormat="1">
      <c r="B227" s="46"/>
    </row>
    <row r="228" spans="2:2" s="45" customFormat="1">
      <c r="B228" s="46"/>
    </row>
    <row r="229" spans="2:2" s="45" customFormat="1">
      <c r="B229" s="46"/>
    </row>
    <row r="230" spans="2:2" s="45" customFormat="1">
      <c r="B230" s="46"/>
    </row>
    <row r="231" spans="2:2" s="45" customFormat="1">
      <c r="B231" s="46"/>
    </row>
    <row r="232" spans="2:2" s="45" customFormat="1">
      <c r="B232" s="46"/>
    </row>
    <row r="233" spans="2:2" s="45" customFormat="1">
      <c r="B233" s="46"/>
    </row>
    <row r="234" spans="2:2" s="45" customFormat="1">
      <c r="B234" s="46"/>
    </row>
    <row r="235" spans="2:2" s="45" customFormat="1">
      <c r="B235" s="46"/>
    </row>
    <row r="236" spans="2:2" s="45" customFormat="1">
      <c r="B236" s="46"/>
    </row>
    <row r="237" spans="2:2" s="45" customFormat="1">
      <c r="B237" s="46"/>
    </row>
    <row r="238" spans="2:2" s="45" customFormat="1">
      <c r="B238" s="46"/>
    </row>
    <row r="239" spans="2:2" s="45" customFormat="1">
      <c r="B239" s="46"/>
    </row>
    <row r="240" spans="2:2" s="45" customFormat="1">
      <c r="B240" s="46"/>
    </row>
    <row r="241" spans="2:2" s="45" customFormat="1">
      <c r="B241" s="46"/>
    </row>
    <row r="242" spans="2:2" s="45" customFormat="1">
      <c r="B242" s="46"/>
    </row>
    <row r="243" spans="2:2" s="45" customFormat="1">
      <c r="B243" s="46"/>
    </row>
    <row r="244" spans="2:2" s="45" customFormat="1">
      <c r="B244" s="46"/>
    </row>
    <row r="245" spans="2:2" s="45" customFormat="1">
      <c r="B245" s="46"/>
    </row>
    <row r="246" spans="2:2" s="45" customFormat="1">
      <c r="B246" s="46"/>
    </row>
    <row r="247" spans="2:2" s="45" customFormat="1">
      <c r="B247" s="46"/>
    </row>
    <row r="248" spans="2:2" s="45" customFormat="1">
      <c r="B248" s="46"/>
    </row>
    <row r="249" spans="2:2" s="45" customFormat="1">
      <c r="B249" s="46"/>
    </row>
    <row r="250" spans="2:2" s="45" customFormat="1">
      <c r="B250" s="46"/>
    </row>
    <row r="251" spans="2:2" s="45" customFormat="1">
      <c r="B251" s="46"/>
    </row>
    <row r="252" spans="2:2" s="45" customFormat="1">
      <c r="B252" s="46"/>
    </row>
    <row r="253" spans="2:2" s="45" customFormat="1">
      <c r="B253" s="46"/>
    </row>
    <row r="254" spans="2:2" s="45" customFormat="1">
      <c r="B254" s="46"/>
    </row>
    <row r="255" spans="2:2" s="45" customFormat="1">
      <c r="B255" s="46"/>
    </row>
    <row r="256" spans="2:2" s="45" customFormat="1">
      <c r="B256" s="46"/>
    </row>
    <row r="257" spans="2:2" s="45" customFormat="1">
      <c r="B257" s="46"/>
    </row>
    <row r="258" spans="2:2" s="45" customFormat="1">
      <c r="B258" s="46"/>
    </row>
    <row r="259" spans="2:2" s="45" customFormat="1">
      <c r="B259" s="46"/>
    </row>
    <row r="260" spans="2:2" s="45" customFormat="1">
      <c r="B260" s="46"/>
    </row>
    <row r="261" spans="2:2" s="45" customFormat="1">
      <c r="B261" s="46"/>
    </row>
    <row r="262" spans="2:2" s="45" customFormat="1">
      <c r="B262" s="46"/>
    </row>
    <row r="263" spans="2:2" s="45" customFormat="1">
      <c r="B263" s="46"/>
    </row>
    <row r="264" spans="2:2" s="45" customFormat="1">
      <c r="B264" s="46"/>
    </row>
    <row r="265" spans="2:2" s="45" customFormat="1">
      <c r="B265" s="46"/>
    </row>
    <row r="266" spans="2:2" s="45" customFormat="1">
      <c r="B266" s="46"/>
    </row>
    <row r="267" spans="2:2" s="45" customFormat="1">
      <c r="B267" s="46"/>
    </row>
    <row r="268" spans="2:2" s="45" customFormat="1">
      <c r="B268" s="46"/>
    </row>
    <row r="269" spans="2:2" s="45" customFormat="1">
      <c r="B269" s="46"/>
    </row>
    <row r="270" spans="2:2" s="45" customFormat="1">
      <c r="B270" s="46"/>
    </row>
    <row r="271" spans="2:2" s="45" customFormat="1">
      <c r="B271" s="46"/>
    </row>
    <row r="272" spans="2:2" s="45" customFormat="1">
      <c r="B272" s="46"/>
    </row>
    <row r="273" spans="2:2" s="45" customFormat="1">
      <c r="B273" s="46"/>
    </row>
    <row r="274" spans="2:2" s="45" customFormat="1">
      <c r="B274" s="46"/>
    </row>
    <row r="275" spans="2:2" s="45" customFormat="1">
      <c r="B275" s="46"/>
    </row>
    <row r="276" spans="2:2" s="45" customFormat="1">
      <c r="B276" s="46"/>
    </row>
    <row r="277" spans="2:2" s="45" customFormat="1">
      <c r="B277" s="46"/>
    </row>
    <row r="278" spans="2:2" s="45" customFormat="1">
      <c r="B278" s="46"/>
    </row>
    <row r="279" spans="2:2" s="45" customFormat="1">
      <c r="B279" s="46"/>
    </row>
    <row r="280" spans="2:2" s="45" customFormat="1">
      <c r="B280" s="46"/>
    </row>
    <row r="281" spans="2:2" s="45" customFormat="1">
      <c r="B281" s="46"/>
    </row>
    <row r="282" spans="2:2" s="45" customFormat="1">
      <c r="B282" s="46"/>
    </row>
    <row r="283" spans="2:2" s="45" customFormat="1">
      <c r="B283" s="46"/>
    </row>
    <row r="284" spans="2:2" s="45" customFormat="1">
      <c r="B284" s="46"/>
    </row>
    <row r="285" spans="2:2" s="45" customFormat="1">
      <c r="B285" s="46"/>
    </row>
    <row r="286" spans="2:2" s="45" customFormat="1">
      <c r="B286" s="46"/>
    </row>
    <row r="287" spans="2:2" s="45" customFormat="1">
      <c r="B287" s="46"/>
    </row>
    <row r="288" spans="2:2" s="45" customFormat="1">
      <c r="B288" s="46"/>
    </row>
    <row r="289" spans="2:2" s="45" customFormat="1">
      <c r="B289" s="46"/>
    </row>
    <row r="290" spans="2:2" s="45" customFormat="1">
      <c r="B290" s="46"/>
    </row>
    <row r="291" spans="2:2" s="45" customFormat="1">
      <c r="B291" s="46"/>
    </row>
    <row r="292" spans="2:2" s="45" customFormat="1">
      <c r="B292" s="46"/>
    </row>
    <row r="293" spans="2:2" s="45" customFormat="1">
      <c r="B293" s="46"/>
    </row>
    <row r="294" spans="2:2" s="45" customFormat="1">
      <c r="B294" s="46"/>
    </row>
    <row r="295" spans="2:2" s="45" customFormat="1">
      <c r="B295" s="46"/>
    </row>
    <row r="296" spans="2:2" s="45" customFormat="1">
      <c r="B296" s="46"/>
    </row>
    <row r="297" spans="2:2" s="45" customFormat="1">
      <c r="B297" s="46"/>
    </row>
    <row r="298" spans="2:2" s="45" customFormat="1">
      <c r="B298" s="46"/>
    </row>
    <row r="299" spans="2:2" s="45" customFormat="1">
      <c r="B299" s="46"/>
    </row>
    <row r="300" spans="2:2" s="45" customFormat="1">
      <c r="B300" s="46"/>
    </row>
    <row r="301" spans="2:2" s="45" customFormat="1">
      <c r="B301" s="46"/>
    </row>
    <row r="302" spans="2:2" s="45" customFormat="1">
      <c r="B302" s="46"/>
    </row>
    <row r="303" spans="2:2" s="45" customFormat="1">
      <c r="B303" s="46"/>
    </row>
    <row r="304" spans="2:2" s="45" customFormat="1">
      <c r="B304" s="46"/>
    </row>
    <row r="305" spans="2:2" s="45" customFormat="1">
      <c r="B305" s="46"/>
    </row>
    <row r="306" spans="2:2" s="45" customFormat="1">
      <c r="B306" s="46"/>
    </row>
    <row r="307" spans="2:2" s="45" customFormat="1">
      <c r="B307" s="46"/>
    </row>
    <row r="308" spans="2:2" s="45" customFormat="1">
      <c r="B308" s="46"/>
    </row>
    <row r="309" spans="2:2" s="45" customFormat="1">
      <c r="B309" s="46"/>
    </row>
    <row r="310" spans="2:2" s="45" customFormat="1">
      <c r="B310" s="46"/>
    </row>
    <row r="311" spans="2:2" s="45" customFormat="1">
      <c r="B311" s="46"/>
    </row>
    <row r="312" spans="2:2" s="45" customFormat="1">
      <c r="B312" s="46"/>
    </row>
    <row r="313" spans="2:2" s="45" customFormat="1">
      <c r="B313" s="46"/>
    </row>
    <row r="314" spans="2:2" s="45" customFormat="1">
      <c r="B314" s="46"/>
    </row>
    <row r="315" spans="2:2" s="45" customFormat="1">
      <c r="B315" s="46"/>
    </row>
    <row r="316" spans="2:2" s="45" customFormat="1">
      <c r="B316" s="46"/>
    </row>
    <row r="317" spans="2:2" s="45" customFormat="1">
      <c r="B317" s="46"/>
    </row>
    <row r="318" spans="2:2" s="45" customFormat="1">
      <c r="B318" s="46"/>
    </row>
    <row r="319" spans="2:2" s="45" customFormat="1">
      <c r="B319" s="46"/>
    </row>
    <row r="320" spans="2:2" s="45" customFormat="1">
      <c r="B320" s="46"/>
    </row>
    <row r="321" spans="2:2" s="45" customFormat="1">
      <c r="B321" s="46"/>
    </row>
    <row r="322" spans="2:2" s="45" customFormat="1">
      <c r="B322" s="46"/>
    </row>
    <row r="323" spans="2:2" s="45" customFormat="1">
      <c r="B323" s="46"/>
    </row>
    <row r="324" spans="2:2" s="45" customFormat="1">
      <c r="B324" s="46"/>
    </row>
    <row r="325" spans="2:2" s="45" customFormat="1">
      <c r="B325" s="46"/>
    </row>
    <row r="326" spans="2:2" s="45" customFormat="1">
      <c r="B326" s="46"/>
    </row>
    <row r="327" spans="2:2" s="45" customFormat="1">
      <c r="B327" s="46"/>
    </row>
    <row r="328" spans="2:2" s="45" customFormat="1">
      <c r="B328" s="46"/>
    </row>
    <row r="329" spans="2:2" s="45" customFormat="1">
      <c r="B329" s="46"/>
    </row>
    <row r="330" spans="2:2" s="45" customFormat="1">
      <c r="B330" s="46"/>
    </row>
    <row r="331" spans="2:2" s="45" customFormat="1">
      <c r="B331" s="46"/>
    </row>
    <row r="332" spans="2:2" s="45" customFormat="1">
      <c r="B332" s="46"/>
    </row>
    <row r="333" spans="2:2" s="45" customFormat="1">
      <c r="B333" s="46"/>
    </row>
    <row r="334" spans="2:2" s="45" customFormat="1">
      <c r="B334" s="46"/>
    </row>
    <row r="335" spans="2:2" s="45" customFormat="1">
      <c r="B335" s="46"/>
    </row>
    <row r="336" spans="2:2" s="45" customFormat="1">
      <c r="B336" s="46"/>
    </row>
    <row r="337" spans="2:2" s="45" customFormat="1">
      <c r="B337" s="46"/>
    </row>
    <row r="338" spans="2:2" s="45" customFormat="1">
      <c r="B338" s="46"/>
    </row>
    <row r="339" spans="2:2" s="45" customFormat="1">
      <c r="B339" s="46"/>
    </row>
    <row r="340" spans="2:2" s="45" customFormat="1">
      <c r="B340" s="46"/>
    </row>
    <row r="341" spans="2:2" s="45" customFormat="1">
      <c r="B341" s="46"/>
    </row>
    <row r="342" spans="2:2" s="45" customFormat="1">
      <c r="B342" s="46"/>
    </row>
    <row r="343" spans="2:2" s="45" customFormat="1">
      <c r="B343" s="46"/>
    </row>
    <row r="344" spans="2:2" s="45" customFormat="1">
      <c r="B344" s="46"/>
    </row>
    <row r="345" spans="2:2" s="45" customFormat="1">
      <c r="B345" s="46"/>
    </row>
    <row r="346" spans="2:2" s="45" customFormat="1">
      <c r="B346" s="46"/>
    </row>
    <row r="347" spans="2:2" s="45" customFormat="1">
      <c r="B347" s="46"/>
    </row>
    <row r="348" spans="2:2" s="45" customFormat="1">
      <c r="B348" s="46"/>
    </row>
    <row r="349" spans="2:2" s="45" customFormat="1">
      <c r="B349" s="46"/>
    </row>
    <row r="350" spans="2:2" s="45" customFormat="1">
      <c r="B350" s="46"/>
    </row>
    <row r="351" spans="2:2" s="45" customFormat="1">
      <c r="B351" s="46"/>
    </row>
    <row r="352" spans="2:2" s="45" customFormat="1">
      <c r="B352" s="46"/>
    </row>
    <row r="353" spans="2:2" s="45" customFormat="1">
      <c r="B353" s="46"/>
    </row>
    <row r="354" spans="2:2" s="45" customFormat="1">
      <c r="B354" s="46"/>
    </row>
    <row r="355" spans="2:2" s="45" customFormat="1">
      <c r="B355" s="46"/>
    </row>
    <row r="356" spans="2:2" s="45" customFormat="1">
      <c r="B356" s="46"/>
    </row>
    <row r="357" spans="2:2" s="45" customFormat="1">
      <c r="B357" s="46"/>
    </row>
    <row r="358" spans="2:2" s="45" customFormat="1">
      <c r="B358" s="46"/>
    </row>
    <row r="359" spans="2:2" s="45" customFormat="1">
      <c r="B359" s="46"/>
    </row>
    <row r="360" spans="2:2" s="45" customFormat="1">
      <c r="B360" s="46"/>
    </row>
    <row r="361" spans="2:2" s="45" customFormat="1">
      <c r="B361" s="46"/>
    </row>
    <row r="362" spans="2:2" s="45" customFormat="1">
      <c r="B362" s="46"/>
    </row>
    <row r="363" spans="2:2" s="45" customFormat="1">
      <c r="B363" s="46"/>
    </row>
    <row r="364" spans="2:2" s="45" customFormat="1">
      <c r="B364" s="46"/>
    </row>
    <row r="365" spans="2:2" s="45" customFormat="1">
      <c r="B365" s="46"/>
    </row>
    <row r="366" spans="2:2" s="45" customFormat="1">
      <c r="B366" s="46"/>
    </row>
    <row r="367" spans="2:2" s="45" customFormat="1">
      <c r="B367" s="46"/>
    </row>
    <row r="368" spans="2:2" s="45" customFormat="1">
      <c r="B368" s="46"/>
    </row>
    <row r="369" spans="2:2" s="45" customFormat="1">
      <c r="B369" s="46"/>
    </row>
    <row r="370" spans="2:2" s="45" customFormat="1">
      <c r="B370" s="46"/>
    </row>
    <row r="371" spans="2:2" s="45" customFormat="1">
      <c r="B371" s="46"/>
    </row>
    <row r="372" spans="2:2" s="45" customFormat="1">
      <c r="B372" s="46"/>
    </row>
    <row r="373" spans="2:2" s="45" customFormat="1">
      <c r="B373" s="46"/>
    </row>
    <row r="374" spans="2:2" s="45" customFormat="1">
      <c r="B374" s="46"/>
    </row>
    <row r="375" spans="2:2" s="45" customFormat="1">
      <c r="B375" s="46"/>
    </row>
    <row r="376" spans="2:2" s="45" customFormat="1">
      <c r="B376" s="46"/>
    </row>
    <row r="377" spans="2:2" s="45" customFormat="1">
      <c r="B377" s="46"/>
    </row>
    <row r="378" spans="2:2" s="45" customFormat="1">
      <c r="B378" s="46"/>
    </row>
    <row r="379" spans="2:2" s="45" customFormat="1">
      <c r="B379" s="46"/>
    </row>
    <row r="380" spans="2:2" s="45" customFormat="1">
      <c r="B380" s="46"/>
    </row>
    <row r="381" spans="2:2" s="45" customFormat="1">
      <c r="B381" s="46"/>
    </row>
    <row r="382" spans="2:2" s="45" customFormat="1">
      <c r="B382" s="46"/>
    </row>
    <row r="383" spans="2:2" s="45" customFormat="1">
      <c r="B383" s="46"/>
    </row>
    <row r="384" spans="2:2" s="45" customFormat="1">
      <c r="B384" s="46"/>
    </row>
    <row r="385" spans="2:2" s="45" customFormat="1">
      <c r="B385" s="46"/>
    </row>
    <row r="386" spans="2:2" s="45" customFormat="1">
      <c r="B386" s="46"/>
    </row>
    <row r="387" spans="2:2" s="45" customFormat="1">
      <c r="B387" s="46"/>
    </row>
    <row r="388" spans="2:2" s="45" customFormat="1">
      <c r="B388" s="46"/>
    </row>
    <row r="389" spans="2:2" s="45" customFormat="1">
      <c r="B389" s="46"/>
    </row>
    <row r="390" spans="2:2" s="45" customFormat="1">
      <c r="B390" s="46"/>
    </row>
    <row r="391" spans="2:2" s="45" customFormat="1">
      <c r="B391" s="46"/>
    </row>
    <row r="392" spans="2:2" s="45" customFormat="1">
      <c r="B392" s="46"/>
    </row>
    <row r="393" spans="2:2" s="45" customFormat="1">
      <c r="B393" s="46"/>
    </row>
    <row r="394" spans="2:2" s="45" customFormat="1">
      <c r="B394" s="46"/>
    </row>
    <row r="395" spans="2:2" s="45" customFormat="1">
      <c r="B395" s="46"/>
    </row>
    <row r="396" spans="2:2" s="45" customFormat="1">
      <c r="B396" s="46"/>
    </row>
    <row r="397" spans="2:2" s="45" customFormat="1">
      <c r="B397" s="46"/>
    </row>
    <row r="398" spans="2:2" s="45" customFormat="1">
      <c r="B398" s="46"/>
    </row>
    <row r="399" spans="2:2" s="45" customFormat="1">
      <c r="B399" s="46"/>
    </row>
    <row r="400" spans="2:2" s="45" customFormat="1">
      <c r="B400" s="46"/>
    </row>
    <row r="401" spans="2:2" s="45" customFormat="1">
      <c r="B401" s="46"/>
    </row>
    <row r="402" spans="2:2" s="45" customFormat="1">
      <c r="B402" s="46"/>
    </row>
    <row r="403" spans="2:2" s="45" customFormat="1">
      <c r="B403" s="46"/>
    </row>
    <row r="404" spans="2:2" s="45" customFormat="1">
      <c r="B404" s="46"/>
    </row>
    <row r="405" spans="2:2" s="45" customFormat="1">
      <c r="B405" s="46"/>
    </row>
    <row r="406" spans="2:2" s="45" customFormat="1">
      <c r="B406" s="46"/>
    </row>
    <row r="407" spans="2:2" s="45" customFormat="1">
      <c r="B407" s="46"/>
    </row>
    <row r="408" spans="2:2" s="45" customFormat="1">
      <c r="B408" s="46"/>
    </row>
    <row r="409" spans="2:2" s="45" customFormat="1">
      <c r="B409" s="46"/>
    </row>
    <row r="410" spans="2:2" s="45" customFormat="1">
      <c r="B410" s="46"/>
    </row>
    <row r="411" spans="2:2" s="45" customFormat="1">
      <c r="B411" s="46"/>
    </row>
    <row r="412" spans="2:2" s="45" customFormat="1">
      <c r="B412" s="46"/>
    </row>
    <row r="413" spans="2:2" s="45" customFormat="1">
      <c r="B413" s="46"/>
    </row>
    <row r="414" spans="2:2" s="45" customFormat="1">
      <c r="B414" s="46"/>
    </row>
    <row r="415" spans="2:2" s="45" customFormat="1">
      <c r="B415" s="46"/>
    </row>
    <row r="416" spans="2:2" s="45" customFormat="1">
      <c r="B416" s="46"/>
    </row>
    <row r="417" spans="2:2" s="45" customFormat="1">
      <c r="B417" s="46"/>
    </row>
    <row r="418" spans="2:2" s="45" customFormat="1">
      <c r="B418" s="46"/>
    </row>
    <row r="419" spans="2:2" s="45" customFormat="1">
      <c r="B419" s="46"/>
    </row>
    <row r="420" spans="2:2" s="45" customFormat="1">
      <c r="B420" s="46"/>
    </row>
    <row r="421" spans="2:2" s="45" customFormat="1">
      <c r="B421" s="46"/>
    </row>
    <row r="422" spans="2:2" s="45" customFormat="1">
      <c r="B422" s="46"/>
    </row>
    <row r="423" spans="2:2" s="45" customFormat="1">
      <c r="B423" s="46"/>
    </row>
    <row r="424" spans="2:2" s="45" customFormat="1">
      <c r="B424" s="46"/>
    </row>
    <row r="425" spans="2:2" s="45" customFormat="1">
      <c r="B425" s="46"/>
    </row>
    <row r="426" spans="2:2" s="45" customFormat="1">
      <c r="B426" s="46"/>
    </row>
    <row r="427" spans="2:2" s="45" customFormat="1">
      <c r="B427" s="46"/>
    </row>
    <row r="428" spans="2:2" s="45" customFormat="1">
      <c r="B428" s="46"/>
    </row>
    <row r="429" spans="2:2" s="45" customFormat="1">
      <c r="B429" s="46"/>
    </row>
    <row r="430" spans="2:2" s="45" customFormat="1">
      <c r="B430" s="46"/>
    </row>
    <row r="431" spans="2:2" s="45" customFormat="1">
      <c r="B431" s="46"/>
    </row>
    <row r="432" spans="2:2" s="45" customFormat="1">
      <c r="B432" s="46"/>
    </row>
    <row r="433" spans="2:2" s="45" customFormat="1">
      <c r="B433" s="46"/>
    </row>
    <row r="434" spans="2:2" s="45" customFormat="1">
      <c r="B434" s="46"/>
    </row>
    <row r="435" spans="2:2" s="45" customFormat="1">
      <c r="B435" s="46"/>
    </row>
    <row r="436" spans="2:2" s="45" customFormat="1">
      <c r="B436" s="46"/>
    </row>
    <row r="437" spans="2:2" s="45" customFormat="1">
      <c r="B437" s="46"/>
    </row>
    <row r="438" spans="2:2" s="45" customFormat="1">
      <c r="B438" s="46"/>
    </row>
    <row r="439" spans="2:2" s="45" customFormat="1">
      <c r="B439" s="46"/>
    </row>
    <row r="440" spans="2:2" s="45" customFormat="1">
      <c r="B440" s="46"/>
    </row>
    <row r="441" spans="2:2" s="45" customFormat="1">
      <c r="B441" s="46"/>
    </row>
    <row r="442" spans="2:2" s="45" customFormat="1">
      <c r="B442" s="46"/>
    </row>
    <row r="443" spans="2:2" s="45" customFormat="1">
      <c r="B443" s="46"/>
    </row>
    <row r="444" spans="2:2" s="45" customFormat="1">
      <c r="B444" s="46"/>
    </row>
    <row r="445" spans="2:2" s="45" customFormat="1">
      <c r="B445" s="46"/>
    </row>
    <row r="446" spans="2:2" s="45" customFormat="1">
      <c r="B446" s="46"/>
    </row>
    <row r="447" spans="2:2" s="45" customFormat="1">
      <c r="B447" s="46"/>
    </row>
    <row r="448" spans="2:2" s="45" customFormat="1">
      <c r="B448" s="46"/>
    </row>
    <row r="449" spans="2:2" s="45" customFormat="1">
      <c r="B449" s="46"/>
    </row>
    <row r="450" spans="2:2" s="45" customFormat="1">
      <c r="B450" s="46"/>
    </row>
    <row r="451" spans="2:2" s="45" customFormat="1">
      <c r="B451" s="46"/>
    </row>
    <row r="452" spans="2:2" s="45" customFormat="1">
      <c r="B452" s="46"/>
    </row>
    <row r="453" spans="2:2" s="45" customFormat="1">
      <c r="B453" s="46"/>
    </row>
    <row r="454" spans="2:2" s="45" customFormat="1">
      <c r="B454" s="46"/>
    </row>
    <row r="455" spans="2:2" s="45" customFormat="1">
      <c r="B455" s="46"/>
    </row>
    <row r="456" spans="2:2" s="45" customFormat="1">
      <c r="B456" s="46"/>
    </row>
    <row r="457" spans="2:2" s="45" customFormat="1">
      <c r="B457" s="46"/>
    </row>
    <row r="458" spans="2:2" s="45" customFormat="1">
      <c r="B458" s="46"/>
    </row>
    <row r="459" spans="2:2" s="45" customFormat="1">
      <c r="B459" s="46"/>
    </row>
    <row r="460" spans="2:2" s="45" customFormat="1">
      <c r="B460" s="46"/>
    </row>
    <row r="461" spans="2:2" s="45" customFormat="1">
      <c r="B461" s="46"/>
    </row>
    <row r="462" spans="2:2" s="45" customFormat="1">
      <c r="B462" s="46"/>
    </row>
    <row r="463" spans="2:2" s="45" customFormat="1">
      <c r="B463" s="46"/>
    </row>
    <row r="464" spans="2:2" s="45" customFormat="1">
      <c r="B464" s="46"/>
    </row>
    <row r="465" spans="2:2" s="45" customFormat="1">
      <c r="B465" s="46"/>
    </row>
    <row r="466" spans="2:2" s="45" customFormat="1">
      <c r="B466" s="46"/>
    </row>
    <row r="467" spans="2:2" s="45" customFormat="1">
      <c r="B467" s="46"/>
    </row>
    <row r="468" spans="2:2" s="45" customFormat="1">
      <c r="B468" s="46"/>
    </row>
    <row r="469" spans="2:2" s="45" customFormat="1">
      <c r="B469" s="46"/>
    </row>
    <row r="470" spans="2:2" s="45" customFormat="1">
      <c r="B470" s="46"/>
    </row>
    <row r="471" spans="2:2" s="45" customFormat="1">
      <c r="B471" s="46"/>
    </row>
    <row r="472" spans="2:2" s="45" customFormat="1">
      <c r="B472" s="46"/>
    </row>
    <row r="473" spans="2:2" s="45" customFormat="1">
      <c r="B473" s="46"/>
    </row>
    <row r="474" spans="2:2" s="45" customFormat="1">
      <c r="B474" s="46"/>
    </row>
    <row r="475" spans="2:2" s="45" customFormat="1">
      <c r="B475" s="46"/>
    </row>
    <row r="476" spans="2:2" s="45" customFormat="1">
      <c r="B476" s="46"/>
    </row>
    <row r="477" spans="2:2" s="45" customFormat="1">
      <c r="B477" s="46"/>
    </row>
    <row r="478" spans="2:2" s="45" customFormat="1">
      <c r="B478" s="46"/>
    </row>
    <row r="479" spans="2:2" s="45" customFormat="1">
      <c r="B479" s="46"/>
    </row>
    <row r="480" spans="2:2" s="45" customFormat="1">
      <c r="B480" s="46"/>
    </row>
    <row r="481" spans="2:2" s="45" customFormat="1">
      <c r="B481" s="46"/>
    </row>
    <row r="482" spans="2:2" s="45" customFormat="1">
      <c r="B482" s="46"/>
    </row>
    <row r="483" spans="2:2" s="45" customFormat="1">
      <c r="B483" s="46"/>
    </row>
    <row r="484" spans="2:2" s="45" customFormat="1">
      <c r="B484" s="46"/>
    </row>
    <row r="485" spans="2:2" s="45" customFormat="1">
      <c r="B485" s="46"/>
    </row>
    <row r="486" spans="2:2" s="45" customFormat="1">
      <c r="B486" s="46"/>
    </row>
    <row r="487" spans="2:2" s="45" customFormat="1">
      <c r="B487" s="46"/>
    </row>
    <row r="488" spans="2:2" s="45" customFormat="1">
      <c r="B488" s="46"/>
    </row>
    <row r="489" spans="2:2" s="45" customFormat="1">
      <c r="B489" s="46"/>
    </row>
    <row r="490" spans="2:2" s="45" customFormat="1">
      <c r="B490" s="46"/>
    </row>
    <row r="491" spans="2:2" s="45" customFormat="1">
      <c r="B491" s="46"/>
    </row>
    <row r="492" spans="2:2" s="45" customFormat="1">
      <c r="B492" s="46"/>
    </row>
    <row r="493" spans="2:2" s="45" customFormat="1">
      <c r="B493" s="46"/>
    </row>
    <row r="494" spans="2:2" s="45" customFormat="1">
      <c r="B494" s="46"/>
    </row>
    <row r="495" spans="2:2" s="45" customFormat="1">
      <c r="B495" s="46"/>
    </row>
    <row r="496" spans="2:2" s="45" customFormat="1">
      <c r="B496" s="46"/>
    </row>
    <row r="497" spans="2:2" s="45" customFormat="1">
      <c r="B497" s="46"/>
    </row>
    <row r="498" spans="2:2" s="45" customFormat="1">
      <c r="B498" s="46"/>
    </row>
    <row r="499" spans="2:2" s="45" customFormat="1">
      <c r="B499" s="46"/>
    </row>
    <row r="500" spans="2:2" s="45" customFormat="1">
      <c r="B500" s="46"/>
    </row>
    <row r="501" spans="2:2" s="45" customFormat="1">
      <c r="B501" s="46"/>
    </row>
    <row r="502" spans="2:2" s="45" customFormat="1">
      <c r="B502" s="46"/>
    </row>
    <row r="503" spans="2:2" s="45" customFormat="1">
      <c r="B503" s="46"/>
    </row>
    <row r="504" spans="2:2" s="45" customFormat="1">
      <c r="B504" s="46"/>
    </row>
    <row r="505" spans="2:2" s="45" customFormat="1">
      <c r="B505" s="46"/>
    </row>
    <row r="506" spans="2:2" s="45" customFormat="1">
      <c r="B506" s="46"/>
    </row>
    <row r="507" spans="2:2" s="45" customFormat="1">
      <c r="B507" s="46"/>
    </row>
    <row r="508" spans="2:2" s="45" customFormat="1">
      <c r="B508" s="46"/>
    </row>
    <row r="509" spans="2:2" s="45" customFormat="1">
      <c r="B509" s="46"/>
    </row>
    <row r="510" spans="2:2" s="45" customFormat="1">
      <c r="B510" s="46"/>
    </row>
    <row r="511" spans="2:2" s="45" customFormat="1">
      <c r="B511" s="46"/>
    </row>
    <row r="512" spans="2:2" s="45" customFormat="1">
      <c r="B512" s="46"/>
    </row>
    <row r="513" spans="2:2" s="45" customFormat="1">
      <c r="B513" s="46"/>
    </row>
    <row r="514" spans="2:2" s="45" customFormat="1">
      <c r="B514" s="46"/>
    </row>
    <row r="515" spans="2:2" s="45" customFormat="1">
      <c r="B515" s="46"/>
    </row>
    <row r="516" spans="2:2" s="45" customFormat="1">
      <c r="B516" s="46"/>
    </row>
    <row r="517" spans="2:2" s="45" customFormat="1">
      <c r="B517" s="46"/>
    </row>
    <row r="518" spans="2:2" s="45" customFormat="1">
      <c r="B518" s="46"/>
    </row>
    <row r="519" spans="2:2" s="45" customFormat="1">
      <c r="B519" s="46"/>
    </row>
    <row r="520" spans="2:2" s="45" customFormat="1">
      <c r="B520" s="46"/>
    </row>
    <row r="521" spans="2:2" s="45" customFormat="1">
      <c r="B521" s="46"/>
    </row>
    <row r="522" spans="2:2" s="45" customFormat="1">
      <c r="B522" s="46"/>
    </row>
    <row r="523" spans="2:2" s="45" customFormat="1">
      <c r="B523" s="46"/>
    </row>
    <row r="524" spans="2:2" s="45" customFormat="1">
      <c r="B524" s="46"/>
    </row>
    <row r="525" spans="2:2" s="45" customFormat="1">
      <c r="B525" s="46"/>
    </row>
    <row r="526" spans="2:2" s="45" customFormat="1">
      <c r="B526" s="46"/>
    </row>
    <row r="527" spans="2:2" s="45" customFormat="1">
      <c r="B527" s="46"/>
    </row>
    <row r="528" spans="2:2" s="45" customFormat="1">
      <c r="B528" s="46"/>
    </row>
    <row r="529" spans="2:2" s="45" customFormat="1">
      <c r="B529" s="46"/>
    </row>
    <row r="530" spans="2:2" s="45" customFormat="1">
      <c r="B530" s="46"/>
    </row>
    <row r="531" spans="2:2" s="45" customFormat="1">
      <c r="B531" s="46"/>
    </row>
    <row r="532" spans="2:2" s="45" customFormat="1">
      <c r="B532" s="46"/>
    </row>
    <row r="533" spans="2:2" s="45" customFormat="1">
      <c r="B533" s="46"/>
    </row>
    <row r="534" spans="2:2" s="45" customFormat="1">
      <c r="B534" s="46"/>
    </row>
    <row r="535" spans="2:2" s="45" customFormat="1">
      <c r="B535" s="46"/>
    </row>
    <row r="536" spans="2:2" s="45" customFormat="1">
      <c r="B536" s="46"/>
    </row>
    <row r="537" spans="2:2" s="45" customFormat="1">
      <c r="B537" s="46"/>
    </row>
    <row r="538" spans="2:2" s="45" customFormat="1">
      <c r="B538" s="46"/>
    </row>
    <row r="539" spans="2:2" s="45" customFormat="1">
      <c r="B539" s="46"/>
    </row>
    <row r="540" spans="2:2" s="45" customFormat="1">
      <c r="B540" s="46"/>
    </row>
    <row r="541" spans="2:2" s="45" customFormat="1">
      <c r="B541" s="46"/>
    </row>
    <row r="542" spans="2:2" s="45" customFormat="1">
      <c r="B542" s="46"/>
    </row>
    <row r="543" spans="2:2" s="45" customFormat="1">
      <c r="B543" s="46"/>
    </row>
    <row r="544" spans="2:2" s="45" customFormat="1">
      <c r="B544" s="46"/>
    </row>
    <row r="545" spans="2:2" s="45" customFormat="1">
      <c r="B545" s="46"/>
    </row>
    <row r="546" spans="2:2" s="45" customFormat="1">
      <c r="B546" s="46"/>
    </row>
    <row r="547" spans="2:2" s="45" customFormat="1">
      <c r="B547" s="46"/>
    </row>
    <row r="548" spans="2:2" s="45" customFormat="1">
      <c r="B548" s="46"/>
    </row>
    <row r="549" spans="2:2" s="45" customFormat="1">
      <c r="B549" s="46"/>
    </row>
    <row r="550" spans="2:2" s="45" customFormat="1">
      <c r="B550" s="46"/>
    </row>
    <row r="551" spans="2:2" s="45" customFormat="1">
      <c r="B551" s="46"/>
    </row>
    <row r="552" spans="2:2" s="45" customFormat="1">
      <c r="B552" s="46"/>
    </row>
    <row r="553" spans="2:2" s="45" customFormat="1">
      <c r="B553" s="46"/>
    </row>
    <row r="554" spans="2:2" s="45" customFormat="1">
      <c r="B554" s="46"/>
    </row>
    <row r="555" spans="2:2" s="45" customFormat="1">
      <c r="B555" s="46"/>
    </row>
    <row r="556" spans="2:2" s="45" customFormat="1">
      <c r="B556" s="46"/>
    </row>
    <row r="557" spans="2:2" s="45" customFormat="1">
      <c r="B557" s="46"/>
    </row>
    <row r="558" spans="2:2" s="45" customFormat="1">
      <c r="B558" s="46"/>
    </row>
    <row r="559" spans="2:2" s="45" customFormat="1">
      <c r="B559" s="46"/>
    </row>
    <row r="560" spans="2:2" s="45" customFormat="1">
      <c r="B560" s="46"/>
    </row>
    <row r="561" spans="2:2" s="45" customFormat="1">
      <c r="B561" s="46"/>
    </row>
    <row r="562" spans="2:2" s="45" customFormat="1">
      <c r="B562" s="46"/>
    </row>
    <row r="563" spans="2:2" s="45" customFormat="1">
      <c r="B563" s="46"/>
    </row>
    <row r="564" spans="2:2" s="45" customFormat="1">
      <c r="B564" s="46"/>
    </row>
    <row r="565" spans="2:2" s="45" customFormat="1">
      <c r="B565" s="46"/>
    </row>
    <row r="566" spans="2:2" s="45" customFormat="1">
      <c r="B566" s="46"/>
    </row>
    <row r="567" spans="2:2" s="45" customFormat="1">
      <c r="B567" s="46"/>
    </row>
    <row r="568" spans="2:2" s="45" customFormat="1">
      <c r="B568" s="46"/>
    </row>
    <row r="569" spans="2:2" s="45" customFormat="1">
      <c r="B569" s="46"/>
    </row>
    <row r="570" spans="2:2" s="45" customFormat="1">
      <c r="B570" s="46"/>
    </row>
    <row r="571" spans="2:2" s="45" customFormat="1">
      <c r="B571" s="46"/>
    </row>
    <row r="572" spans="2:2" s="45" customFormat="1">
      <c r="B572" s="46"/>
    </row>
    <row r="573" spans="2:2" s="45" customFormat="1">
      <c r="B573" s="46"/>
    </row>
    <row r="574" spans="2:2" s="45" customFormat="1">
      <c r="B574" s="46"/>
    </row>
    <row r="575" spans="2:2" s="45" customFormat="1">
      <c r="B575" s="46"/>
    </row>
    <row r="576" spans="2:2" s="45" customFormat="1">
      <c r="B576" s="46"/>
    </row>
    <row r="577" spans="2:2" s="45" customFormat="1">
      <c r="B577" s="46"/>
    </row>
    <row r="578" spans="2:2" s="45" customFormat="1">
      <c r="B578" s="46"/>
    </row>
    <row r="579" spans="2:2" s="45" customFormat="1">
      <c r="B579" s="46"/>
    </row>
    <row r="580" spans="2:2" s="45" customFormat="1">
      <c r="B580" s="46"/>
    </row>
    <row r="581" spans="2:2" s="45" customFormat="1">
      <c r="B581" s="46"/>
    </row>
    <row r="582" spans="2:2" s="45" customFormat="1">
      <c r="B582" s="46"/>
    </row>
    <row r="583" spans="2:2" s="45" customFormat="1">
      <c r="B583" s="46"/>
    </row>
    <row r="584" spans="2:2" s="45" customFormat="1">
      <c r="B584" s="46"/>
    </row>
    <row r="585" spans="2:2" s="45" customFormat="1">
      <c r="B585" s="46"/>
    </row>
    <row r="586" spans="2:2" s="45" customFormat="1">
      <c r="B586" s="46"/>
    </row>
    <row r="587" spans="2:2" s="45" customFormat="1">
      <c r="B587" s="46"/>
    </row>
    <row r="588" spans="2:2" s="45" customFormat="1">
      <c r="B588" s="46"/>
    </row>
    <row r="589" spans="2:2" s="45" customFormat="1">
      <c r="B589" s="46"/>
    </row>
    <row r="590" spans="2:2" s="45" customFormat="1">
      <c r="B590" s="46"/>
    </row>
    <row r="591" spans="2:2" s="45" customFormat="1">
      <c r="B591" s="46"/>
    </row>
    <row r="592" spans="2:2" s="45" customFormat="1">
      <c r="B592" s="46"/>
    </row>
    <row r="593" spans="2:2" s="45" customFormat="1">
      <c r="B593" s="46"/>
    </row>
    <row r="594" spans="2:2" s="45" customFormat="1">
      <c r="B594" s="46"/>
    </row>
    <row r="595" spans="2:2" s="45" customFormat="1">
      <c r="B595" s="46"/>
    </row>
    <row r="596" spans="2:2" s="45" customFormat="1">
      <c r="B596" s="46"/>
    </row>
    <row r="597" spans="2:2" s="45" customFormat="1">
      <c r="B597" s="46"/>
    </row>
    <row r="598" spans="2:2" s="45" customFormat="1">
      <c r="B598" s="46"/>
    </row>
    <row r="599" spans="2:2" s="45" customFormat="1">
      <c r="B599" s="46"/>
    </row>
    <row r="600" spans="2:2" s="45" customFormat="1">
      <c r="B600" s="46"/>
    </row>
    <row r="601" spans="2:2" s="45" customFormat="1">
      <c r="B601" s="46"/>
    </row>
    <row r="602" spans="2:2" s="45" customFormat="1">
      <c r="B602" s="46"/>
    </row>
    <row r="603" spans="2:2" s="45" customFormat="1">
      <c r="B603" s="46"/>
    </row>
    <row r="604" spans="2:2" s="45" customFormat="1">
      <c r="B604" s="46"/>
    </row>
    <row r="605" spans="2:2" s="45" customFormat="1">
      <c r="B605" s="46"/>
    </row>
    <row r="606" spans="2:2" s="45" customFormat="1">
      <c r="B606" s="46"/>
    </row>
    <row r="607" spans="2:2" s="45" customFormat="1">
      <c r="B607" s="46"/>
    </row>
    <row r="608" spans="2:2" s="45" customFormat="1">
      <c r="B608" s="46"/>
    </row>
    <row r="609" spans="2:2" s="45" customFormat="1">
      <c r="B609" s="46"/>
    </row>
    <row r="610" spans="2:2" s="45" customFormat="1">
      <c r="B610" s="46"/>
    </row>
    <row r="611" spans="2:2" s="45" customFormat="1">
      <c r="B611" s="46"/>
    </row>
    <row r="612" spans="2:2" s="45" customFormat="1">
      <c r="B612" s="46"/>
    </row>
    <row r="613" spans="2:2" s="45" customFormat="1">
      <c r="B613" s="46"/>
    </row>
    <row r="614" spans="2:2" s="45" customFormat="1">
      <c r="B614" s="46"/>
    </row>
    <row r="615" spans="2:2" s="45" customFormat="1">
      <c r="B615" s="46"/>
    </row>
    <row r="616" spans="2:2" s="45" customFormat="1">
      <c r="B616" s="46"/>
    </row>
    <row r="617" spans="2:2" s="45" customFormat="1">
      <c r="B617" s="46"/>
    </row>
    <row r="618" spans="2:2" s="45" customFormat="1">
      <c r="B618" s="46"/>
    </row>
    <row r="619" spans="2:2" s="45" customFormat="1">
      <c r="B619" s="46"/>
    </row>
    <row r="620" spans="2:2" s="45" customFormat="1">
      <c r="B620" s="46"/>
    </row>
  </sheetData>
  <sheetProtection sheet="1" objects="1" scenarios="1"/>
  <conditionalFormatting sqref="B8 B24">
    <cfRule type="containsText" dxfId="388" priority="23" operator="containsText" text="Verified">
      <formula>NOT(ISERROR(SEARCH("Verified",B8)))</formula>
    </cfRule>
    <cfRule type="containsText" dxfId="387" priority="24" operator="containsText" text="Not Complete">
      <formula>NOT(ISERROR(SEARCH("Not Complete",B8)))</formula>
    </cfRule>
  </conditionalFormatting>
  <conditionalFormatting sqref="B13">
    <cfRule type="containsText" dxfId="386" priority="21" operator="containsText" text="Verified">
      <formula>NOT(ISERROR(SEARCH("Verified",B13)))</formula>
    </cfRule>
    <cfRule type="containsText" dxfId="385" priority="22" operator="containsText" text="Not Complete">
      <formula>NOT(ISERROR(SEARCH("Not Complete",B13)))</formula>
    </cfRule>
  </conditionalFormatting>
  <conditionalFormatting sqref="B16">
    <cfRule type="containsText" dxfId="384" priority="19" operator="containsText" text="Verified">
      <formula>NOT(ISERROR(SEARCH("Verified",B16)))</formula>
    </cfRule>
    <cfRule type="containsText" dxfId="383" priority="20" operator="containsText" text="Not Complete">
      <formula>NOT(ISERROR(SEARCH("Not Complete",B16)))</formula>
    </cfRule>
  </conditionalFormatting>
  <conditionalFormatting sqref="B19">
    <cfRule type="containsText" dxfId="382" priority="17" operator="containsText" text="Verified">
      <formula>NOT(ISERROR(SEARCH("Verified",B19)))</formula>
    </cfRule>
    <cfRule type="containsText" dxfId="381" priority="18" operator="containsText" text="Not Complete">
      <formula>NOT(ISERROR(SEARCH("Not Complete",B19)))</formula>
    </cfRule>
  </conditionalFormatting>
  <conditionalFormatting sqref="B22">
    <cfRule type="containsText" dxfId="380" priority="15" operator="containsText" text="Verified">
      <formula>NOT(ISERROR(SEARCH("Verified",B22)))</formula>
    </cfRule>
    <cfRule type="containsText" dxfId="379" priority="16" operator="containsText" text="Not Complete">
      <formula>NOT(ISERROR(SEARCH("Not Complete",B22)))</formula>
    </cfRule>
  </conditionalFormatting>
  <conditionalFormatting sqref="B4:B7">
    <cfRule type="containsText" dxfId="378" priority="13" operator="containsText" text="Verified">
      <formula>NOT(ISERROR(SEARCH("Verified",B4)))</formula>
    </cfRule>
    <cfRule type="containsText" dxfId="377" priority="14" operator="containsText" text="Not Complete">
      <formula>NOT(ISERROR(SEARCH("Not Complete",B4)))</formula>
    </cfRule>
  </conditionalFormatting>
  <conditionalFormatting sqref="B12">
    <cfRule type="containsText" dxfId="376" priority="11" operator="containsText" text="Verified">
      <formula>NOT(ISERROR(SEARCH("Verified",B12)))</formula>
    </cfRule>
    <cfRule type="containsText" dxfId="375" priority="12" operator="containsText" text="Not Complete">
      <formula>NOT(ISERROR(SEARCH("Not Complete",B12)))</formula>
    </cfRule>
  </conditionalFormatting>
  <conditionalFormatting sqref="B9:B11">
    <cfRule type="containsText" dxfId="374" priority="9" operator="containsText" text="Verified">
      <formula>NOT(ISERROR(SEARCH("Verified",B9)))</formula>
    </cfRule>
    <cfRule type="containsText" dxfId="373" priority="10" operator="containsText" text="Not Complete">
      <formula>NOT(ISERROR(SEARCH("Not Complete",B9)))</formula>
    </cfRule>
  </conditionalFormatting>
  <conditionalFormatting sqref="B14:B15">
    <cfRule type="containsText" dxfId="372" priority="7" operator="containsText" text="Verified">
      <formula>NOT(ISERROR(SEARCH("Verified",B14)))</formula>
    </cfRule>
    <cfRule type="containsText" dxfId="371" priority="8" operator="containsText" text="Not Complete">
      <formula>NOT(ISERROR(SEARCH("Not Complete",B14)))</formula>
    </cfRule>
  </conditionalFormatting>
  <conditionalFormatting sqref="B17:B18">
    <cfRule type="containsText" dxfId="370" priority="5" operator="containsText" text="Verified">
      <formula>NOT(ISERROR(SEARCH("Verified",B17)))</formula>
    </cfRule>
    <cfRule type="containsText" dxfId="369" priority="6" operator="containsText" text="Not Complete">
      <formula>NOT(ISERROR(SEARCH("Not Complete",B17)))</formula>
    </cfRule>
  </conditionalFormatting>
  <conditionalFormatting sqref="B20:B21">
    <cfRule type="containsText" dxfId="368" priority="3" operator="containsText" text="Verified">
      <formula>NOT(ISERROR(SEARCH("Verified",B20)))</formula>
    </cfRule>
    <cfRule type="containsText" dxfId="367" priority="4" operator="containsText" text="Not Complete">
      <formula>NOT(ISERROR(SEARCH("Not Complete",B20)))</formula>
    </cfRule>
  </conditionalFormatting>
  <conditionalFormatting sqref="B23">
    <cfRule type="containsText" dxfId="366" priority="1" operator="containsText" text="Verified">
      <formula>NOT(ISERROR(SEARCH("Verified",B23)))</formula>
    </cfRule>
    <cfRule type="containsText" dxfId="365" priority="2" operator="containsText" text="Not Complete">
      <formula>NOT(ISERROR(SEARCH("Not Complete",B23)))</formula>
    </cfRule>
  </conditionalFormatting>
  <dataValidations count="1">
    <dataValidation type="list" allowBlank="1" showInputMessage="1" showErrorMessage="1" sqref="B4:B23" xr:uid="{ABAF4F67-5464-994F-8E0D-B21358A99561}">
      <formula1>"Verified,Not Complete"</formula1>
    </dataValidation>
  </dataValidations>
  <pageMargins left="0.7" right="0.7" top="0.75" bottom="0.75" header="0.3" footer="0.3"/>
  <pageSetup paperSize="9" orientation="portrait" horizontalDpi="75" verticalDpi="75"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FD885"/>
  <sheetViews>
    <sheetView showZeros="0" topLeftCell="A311" zoomScale="135" zoomScaleNormal="135" zoomScalePageLayoutView="130" workbookViewId="0">
      <selection activeCell="A296" sqref="A296"/>
    </sheetView>
  </sheetViews>
  <sheetFormatPr baseColWidth="10" defaultColWidth="8.83203125" defaultRowHeight="15"/>
  <cols>
    <col min="1" max="1" width="172.6640625" style="1" customWidth="1"/>
    <col min="2" max="2" width="42.5" style="1" customWidth="1"/>
    <col min="3" max="16384" width="8.83203125" style="1"/>
  </cols>
  <sheetData>
    <row r="1" spans="1:1">
      <c r="A1" s="1" t="s">
        <v>502</v>
      </c>
    </row>
    <row r="2" spans="1:1">
      <c r="A2" s="5" t="str">
        <f>"workflowName.mgmt=vvd/vvd-std-regb-mgmt.json"</f>
        <v>workflowName.mgmt=vvd/vvd-std-regb-mgmt.json</v>
      </c>
    </row>
    <row r="3" spans="1:1">
      <c r="A3" s="5" t="str">
        <f>"workflowName.compute=vvd/vvd-std-regb-comp.json"</f>
        <v>workflowName.compute=vvd/vvd-std-regb-comp.json</v>
      </c>
    </row>
    <row r="4" spans="1:1" s="6" customFormat="1">
      <c r="A4" s="5" t="str">
        <f>IF('Run Parameters'!F19="No","CeipEnabled=false","CeipEnabled=true")</f>
        <v>CeipEnabled=true</v>
      </c>
    </row>
    <row r="5" spans="1:1" s="6" customFormat="1"/>
    <row r="6" spans="1:1" s="2" customFormat="1">
      <c r="A6" s="2" t="s">
        <v>113</v>
      </c>
    </row>
    <row r="7" spans="1:1" s="2" customFormat="1">
      <c r="A7" s="2" t="s">
        <v>327</v>
      </c>
    </row>
    <row r="8" spans="1:1" s="2" customFormat="1">
      <c r="A8" s="4" t="str">
        <f>IF('Management Workloads'!M7="n/a","vcloud-suite-license@key=","vcloud-suite-license@key="&amp;'Management Workloads'!M7)</f>
        <v>vcloud-suite-license@key=</v>
      </c>
    </row>
    <row r="9" spans="1:1">
      <c r="A9" s="1" t="s">
        <v>432</v>
      </c>
    </row>
    <row r="10" spans="1:1">
      <c r="A10" s="5" t="str">
        <f>IF('Management Workloads'!M9="n/a","mgmt-vcenter-6-license@key=","mgmt-vcenter-6-license@key="&amp;'Management Workloads'!M9)</f>
        <v>mgmt-vcenter-6-license@key=</v>
      </c>
    </row>
    <row r="11" spans="1:1">
      <c r="A11" s="1" t="s">
        <v>433</v>
      </c>
    </row>
    <row r="12" spans="1:1">
      <c r="A12" s="5" t="str">
        <f>IF('Management Workloads'!M12="n/a","compute-vcenter-6-license@key=","compute-vcenter-6-license@key="&amp;'Management Workloads'!M12)</f>
        <v>compute-vcenter-6-license@key=</v>
      </c>
    </row>
    <row r="13" spans="1:1" s="2" customFormat="1">
      <c r="A13" s="4" t="str">
        <f>IF('Management Workloads'!M11="n/a","nsx-license@key=","nsx-license@key="&amp;'Management Workloads'!M11)</f>
        <v>nsx-license@key=</v>
      </c>
    </row>
    <row r="14" spans="1:1" s="9" customFormat="1">
      <c r="A14" s="4" t="str">
        <f>IF('Management Workloads'!M14="n/a","compute-nsx-license@key=","compute-nsx-license@key="&amp;'Management Workloads'!M14)</f>
        <v>compute-nsx-license@key=</v>
      </c>
    </row>
    <row r="15" spans="1:1" s="9" customFormat="1">
      <c r="A15" s="4" t="str">
        <f>IF('Management Workloads'!M8="n/a","vsan-license@key=","vsan-license@key="&amp;'Management Workloads'!M8)</f>
        <v>vsan-license@key=</v>
      </c>
    </row>
    <row r="16" spans="1:1" s="9" customFormat="1">
      <c r="A16" s="4" t="str">
        <f>IF('Management Workloads'!M32="n/a","log-insight-license@key=","log-insight-license@key="&amp;'Management Workloads'!M32)</f>
        <v>log-insight-license@key=</v>
      </c>
    </row>
    <row r="17" spans="1:1" s="9" customFormat="1">
      <c r="A17" s="4" t="str">
        <f>IF('Management Workloads'!M43="n/a","srm-license@key=","srm-license@key="&amp;'Management Workloads'!M43)</f>
        <v>srm-license@key=</v>
      </c>
    </row>
    <row r="18" spans="1:1" s="2" customFormat="1">
      <c r="A18" s="9"/>
    </row>
    <row r="19" spans="1:1" s="2" customFormat="1">
      <c r="A19" s="2" t="s">
        <v>122</v>
      </c>
    </row>
    <row r="20" spans="1:1">
      <c r="A20" s="2" t="s">
        <v>95</v>
      </c>
    </row>
    <row r="21" spans="1:1">
      <c r="A21" s="5" t="str">
        <f>IF('Deploy Parameters'!F10="n/a","ntp-server@address=","ntp-server@address="&amp;'Deploy Parameters'!F10)</f>
        <v>ntp-server@address=0.ntp.lax01.rainpole.local</v>
      </c>
    </row>
    <row r="22" spans="1:1">
      <c r="A22" s="5" t="str">
        <f>IF('Deploy Parameters'!F11="n/a","remote-site-ntp-server@address=","remote-site-ntp-server@address="&amp;'Deploy Parameters'!F11)</f>
        <v>remote-site-ntp-server@address=1.ntp.lax01.rainpole.local</v>
      </c>
    </row>
    <row r="23" spans="1:1">
      <c r="A23" s="1" t="s">
        <v>94</v>
      </c>
    </row>
    <row r="24" spans="1:1">
      <c r="A24" s="5" t="str">
        <f>IF('Deploy Parameters'!G6="n/a","active-directory-deployment.address=","active-directory-deployment.address="&amp;'Deploy Parameters'!G6)</f>
        <v>active-directory-deployment.address=172.17.11.4</v>
      </c>
    </row>
    <row r="26" spans="1:1">
      <c r="A26" s="1" t="s">
        <v>100</v>
      </c>
    </row>
    <row r="27" spans="1:1">
      <c r="A27" s="1" t="s">
        <v>101</v>
      </c>
    </row>
    <row r="28" spans="1:1">
      <c r="A28" s="5" t="str">
        <f>IF('Deploy Parameters'!J10="n/a","ldapADIdentitySource.domainName=","ldapADIdentitySource.domainName="&amp;'Deploy Parameters'!J10)</f>
        <v>ldapADIdentitySource.domainName=rainpole.local</v>
      </c>
    </row>
    <row r="29" spans="1:1">
      <c r="A29" s="5" t="str">
        <f>IF('Deploy Parameters'!J11="n/a","ldapADIdentitySource.domainAlias=","ldapADIdentitySource.domainAlias="&amp;'Deploy Parameters'!J11)</f>
        <v>ldapADIdentitySource.domainAlias=RAINPOLE</v>
      </c>
    </row>
    <row r="30" spans="1:1">
      <c r="A30" s="5" t="str">
        <f>IF('Deploy Parameters'!J12="n/a","ldapADIdentitySource.baseDnUsers=","ldapADIdentitySource.baseDnUsers="&amp;'Deploy Parameters'!J12)</f>
        <v>ldapADIdentitySource.baseDnUsers=dc=rainpole,dc=local</v>
      </c>
    </row>
    <row r="31" spans="1:1">
      <c r="A31" s="5" t="str">
        <f>IF('Deploy Parameters'!J13="n/a","ldapADIdentitySource.baseDnGroups=","ldapADIdentitySource.baseDnGroups="&amp;'Deploy Parameters'!J13)</f>
        <v>ldapADIdentitySource.baseDnGroups=cn=Users,dc=rainpole,dc=local</v>
      </c>
    </row>
    <row r="32" spans="1:1">
      <c r="A32" s="5" t="str">
        <f>IF('Deploy Parameters'!J14="n/a","ldapADIdentitySource.primaryServerURL=","ldapADIdentitySource.primaryServerURL="&amp;'Deploy Parameters'!J14)</f>
        <v>ldapADIdentitySource.primaryServerURL=ldap://dc51rpl.rainpole.local:389</v>
      </c>
    </row>
    <row r="33" spans="1:1">
      <c r="A33" s="5" t="str">
        <f>IF('Deploy Parameters'!J15="n/a","ldapADIdentitySource.subDomainPrefix=","ldapADIdentitySource.subDomainPrefix="&amp;'Deploy Parameters'!J15)</f>
        <v>ldapADIdentitySource.subDomainPrefix=lax01</v>
      </c>
    </row>
    <row r="34" spans="1:1">
      <c r="A34" s="5" t="str">
        <f>IF('Deploy Parameters'!J16="n/a","ldapADIdentitySource.subDomainAlias=","ldapADIdentitySource.subDomainAlias="&amp;'Deploy Parameters'!J16)</f>
        <v>ldapADIdentitySource.subDomainAlias=LAX01</v>
      </c>
    </row>
    <row r="35" spans="1:1">
      <c r="A35" s="5" t="str">
        <f>IF('Deploy Parameters'!J17="n/a","ldapADIdentitySource.subDomainBaseDnUsers=","ldapADIdentitySource.subDomainBaseDnUsers="&amp;'Deploy Parameters'!J17)</f>
        <v>ldapADIdentitySource.subDomainBaseDnUsers=dc=lax01,dc=rainpole,dc=local</v>
      </c>
    </row>
    <row r="36" spans="1:1">
      <c r="A36" s="5" t="str">
        <f>IF('Deploy Parameters'!J18="n/a","ldapADIdentitySource.subDomainBaseDnGroups=","ldapADIdentitySource.subDomainBaseDnGroups="&amp;'Deploy Parameters'!J18)</f>
        <v>ldapADIdentitySource.subDomainBaseDnGroups=cn=Users,dc=lax01,dc=rainpole,dc=local</v>
      </c>
    </row>
    <row r="37" spans="1:1">
      <c r="A37" s="5" t="str">
        <f>IF('Deploy Parameters'!J19="n/a","ldapADIdentitySource.secondaryServerURL=","ldapADIdentitySource.secondaryServerURL="&amp;'Deploy Parameters'!J19)</f>
        <v>ldapADIdentitySource.secondaryServerURL=ldap://dc51lax.lax01.rainpole.local:389</v>
      </c>
    </row>
    <row r="38" spans="1:1">
      <c r="A38" s="5" t="str">
        <f>"ldapADIdentitySource.useSubDomainForUsers="&amp;'Deploy Parameters'!J20</f>
        <v>ldapADIdentitySource.useSubDomainForUsers=false</v>
      </c>
    </row>
    <row r="40" spans="1:1">
      <c r="A40" s="1" t="s">
        <v>102</v>
      </c>
    </row>
    <row r="41" spans="1:1">
      <c r="A41" s="1" t="s">
        <v>103</v>
      </c>
    </row>
    <row r="42" spans="1:1">
      <c r="A42" s="5" t="str">
        <f>"domain-join-ad-user.username="&amp;'Users and Groups'!B16</f>
        <v>domain-join-ad-user.username=svc-domain-join</v>
      </c>
    </row>
    <row r="43" spans="1:1">
      <c r="A43" s="5" t="str">
        <f>"domain-join-ad-user.password="&amp;'Users and Groups'!C16</f>
        <v>domain-join-ad-user.password=VMware1!</v>
      </c>
    </row>
    <row r="46" spans="1:1">
      <c r="A46" s="1" t="s">
        <v>112</v>
      </c>
    </row>
    <row r="47" spans="1:1">
      <c r="A47" s="1" t="s">
        <v>39</v>
      </c>
    </row>
    <row r="48" spans="1:1">
      <c r="A48" s="5" t="str">
        <f>"esxi.username="&amp;'Users and Groups'!B15</f>
        <v>esxi.username=root</v>
      </c>
    </row>
    <row r="49" spans="1:1">
      <c r="A49" s="5" t="str">
        <f>"esxi.password="&amp;'Users and Groups'!C15</f>
        <v>esxi.password=VMware1!</v>
      </c>
    </row>
    <row r="50" spans="1:1">
      <c r="A50" s="6"/>
    </row>
    <row r="51" spans="1:1">
      <c r="A51" s="1" t="s">
        <v>104</v>
      </c>
    </row>
    <row r="52" spans="1:1">
      <c r="A52" s="1" t="s">
        <v>105</v>
      </c>
    </row>
    <row r="53" spans="1:1">
      <c r="A53" s="5" t="str">
        <f>"svc-nsxmanager-ad-user.username="&amp;'Users and Groups'!B21</f>
        <v>svc-nsxmanager-ad-user.username=svc-nsxmanager</v>
      </c>
    </row>
    <row r="54" spans="1:1" s="6" customFormat="1">
      <c r="A54" s="5" t="str">
        <f>"svc-nsxmanager-ad-user.password="&amp;'Users and Groups'!C21</f>
        <v>svc-nsxmanager-ad-user.password=VMware1!</v>
      </c>
    </row>
    <row r="55" spans="1:1">
      <c r="A55" s="6"/>
    </row>
    <row r="56" spans="1:1">
      <c r="A56" s="6" t="s">
        <v>141</v>
      </c>
    </row>
    <row r="57" spans="1:1">
      <c r="A57" s="5" t="str">
        <f>"vcenter-root-credentials@password="&amp;'Users and Groups'!C18</f>
        <v>vcenter-root-credentials@password=VMware1!</v>
      </c>
    </row>
    <row r="58" spans="1:1">
      <c r="A58" s="6" t="s">
        <v>142</v>
      </c>
    </row>
    <row r="59" spans="1:1">
      <c r="A59" s="5" t="str">
        <f>"vcenter-admin-credentials@password="&amp;'Users and Groups'!C17</f>
        <v>vcenter-admin-credentials@password=VMware1!</v>
      </c>
    </row>
    <row r="60" spans="1:1">
      <c r="A60" s="5" t="s">
        <v>223</v>
      </c>
    </row>
    <row r="61" spans="1:1">
      <c r="A61" s="5" t="str">
        <f>"vCenterAdmins-ad-group.name="&amp;'Users and Groups'!B8</f>
        <v>vCenterAdmins-ad-group.name=ug-vCenterAdmins</v>
      </c>
    </row>
    <row r="62" spans="1:1">
      <c r="A62" s="6"/>
    </row>
    <row r="63" spans="1:1">
      <c r="A63" s="6" t="s">
        <v>143</v>
      </c>
    </row>
    <row r="64" spans="1:1">
      <c r="A64" s="5" t="str">
        <f>"nsx-admin-credentials@password="&amp;'Users and Groups'!C19</f>
        <v>nsx-admin-credentials@password=VMware1!</v>
      </c>
    </row>
    <row r="65" spans="1:1">
      <c r="A65" s="6" t="s">
        <v>1079</v>
      </c>
    </row>
    <row r="66" spans="1:1">
      <c r="A66" s="5" t="str">
        <f>"nsx-cli-privilege-password@value="&amp;'Users and Groups'!C20</f>
        <v>nsx-cli-privilege-password@value=VMware1!</v>
      </c>
    </row>
    <row r="67" spans="1:1">
      <c r="A67" s="6"/>
    </row>
    <row r="68" spans="1:1">
      <c r="A68" s="1" t="s">
        <v>540</v>
      </c>
    </row>
    <row r="69" spans="1:1">
      <c r="A69" s="7" t="str">
        <f>IF('Deploy Parameters'!J22="n/a","sso-site-name@value=","sso-site-name@value="&amp;'Deploy Parameters'!J22)</f>
        <v>sso-site-name@value=lax01</v>
      </c>
    </row>
    <row r="70" spans="1:1">
      <c r="A70" s="12" t="str">
        <f>IF('Deploy Parameters'!J22="n/a","compute-sso-site-name@value=","compute-sso-site-name@value="&amp;'Deploy Parameters'!J22)</f>
        <v>compute-sso-site-name@value=lax01</v>
      </c>
    </row>
    <row r="71" spans="1:1">
      <c r="A71" s="1" t="s">
        <v>541</v>
      </c>
    </row>
    <row r="72" spans="1:1">
      <c r="A72" s="5" t="str">
        <f>"region-name@value="&amp;'Deploy Parameters'!J22</f>
        <v>region-name@value=lax01</v>
      </c>
    </row>
    <row r="74" spans="1:1">
      <c r="A74" s="6" t="s">
        <v>212</v>
      </c>
    </row>
    <row r="75" spans="1:1" ht="16">
      <c r="A75" s="8" t="str">
        <f>"physical-nic-dedicated-to-mgmt-dvs@value="&amp;'Deploy Parameters'!F34</f>
        <v>physical-nic-dedicated-to-mgmt-dvs@value=vmnic1</v>
      </c>
    </row>
    <row r="76" spans="1:1" ht="16">
      <c r="A76" s="8" t="str">
        <f>"physical-nic-dedicated-to-edge-dvs@value="&amp;'Deploy Parameters'!F37</f>
        <v>physical-nic-dedicated-to-edge-dvs@value=vmnic1</v>
      </c>
    </row>
    <row r="77" spans="1:1">
      <c r="A77" s="16" t="s">
        <v>474</v>
      </c>
    </row>
    <row r="78" spans="1:1">
      <c r="A78" s="16" t="s">
        <v>475</v>
      </c>
    </row>
    <row r="79" spans="1:1">
      <c r="A79" s="17" t="str">
        <f>IF('Deploy Parameters'!F35="n/a","management-hosts-vss-name@value=","management-hosts-vss-name@value="&amp;'Deploy Parameters'!F35)</f>
        <v>management-hosts-vss-name@value=vSwitch0</v>
      </c>
    </row>
    <row r="80" spans="1:1">
      <c r="A80" s="17" t="str">
        <f>"management-hosts-vmnic="&amp;'Deploy Parameters'!F36</f>
        <v>management-hosts-vmnic=vmnic0</v>
      </c>
    </row>
    <row r="81" spans="1:1">
      <c r="A81" s="16" t="s">
        <v>476</v>
      </c>
    </row>
    <row r="82" spans="1:1">
      <c r="A82" s="17" t="str">
        <f>IF('Deploy Parameters'!F38="n/a","edge-hosts-vss-name@value=","edge-hosts-vss-name@value="&amp;'Deploy Parameters'!F38)</f>
        <v>edge-hosts-vss-name@value=vSwitch0</v>
      </c>
    </row>
    <row r="83" spans="1:1">
      <c r="A83" s="17" t="str">
        <f>"compute-hosts-vmnic="&amp;'Deploy Parameters'!F39</f>
        <v>compute-hosts-vmnic=vmnic0</v>
      </c>
    </row>
    <row r="84" spans="1:1">
      <c r="A84" s="6"/>
    </row>
    <row r="85" spans="1:1">
      <c r="A85" s="6" t="s">
        <v>219</v>
      </c>
    </row>
    <row r="86" spans="1:1">
      <c r="A86" s="7" t="str">
        <f>IF('Deploy Parameters'!F54="n/a","management-vsan-datastore-name@value=","management-vsan-datastore-name@value="&amp;'Deploy Parameters'!F54)</f>
        <v>management-vsan-datastore-name@value=lax01-m01-vsan</v>
      </c>
    </row>
    <row r="87" spans="1:1">
      <c r="A87" s="7" t="str">
        <f>IF('Deploy Parameters'!F55="n/a","edge-vsan-datastore-name@value=","edge-vsan-datastore-name@value="&amp;'Deploy Parameters'!F55)</f>
        <v>edge-vsan-datastore-name@value=lax01-w01-vsan</v>
      </c>
    </row>
    <row r="88" spans="1:1">
      <c r="A88" s="6"/>
    </row>
    <row r="89" spans="1:1">
      <c r="A89" s="1" t="s">
        <v>536</v>
      </c>
    </row>
    <row r="90" spans="1:1">
      <c r="A90" s="5" t="str">
        <f>IF('Hosts and Networks'!H8="n/a","esxi.mgmt-1.address=","esxi.mgmt-1.address="&amp;'Hosts and Networks'!H8)</f>
        <v>esxi.mgmt-1.address=172.17.11.101</v>
      </c>
    </row>
    <row r="91" spans="1:1">
      <c r="A91" s="5" t="str">
        <f>IF('Hosts and Networks'!H7="n/a","esxi.mgmt-1.hostname=","esxi.mgmt-1.hostname="&amp;'Hosts and Networks'!H7)</f>
        <v>esxi.mgmt-1.hostname=lax01m01esx01.lax01.rainpole.local</v>
      </c>
    </row>
    <row r="92" spans="1:1">
      <c r="A92" s="5" t="str">
        <f>IF('Hosts and Networks'!I8="n/a","esxi.mgmt-2.address=","esxi.mgmt-2.address="&amp;'Hosts and Networks'!I8)</f>
        <v>esxi.mgmt-2.address=172.17.11.102</v>
      </c>
    </row>
    <row r="93" spans="1:1">
      <c r="A93" s="5" t="str">
        <f>IF('Hosts and Networks'!I7="n/a","esxi.mgmt-2.hostname=","esxi.mgmt-2.hostname="&amp;'Hosts and Networks'!I7)</f>
        <v>esxi.mgmt-2.hostname=lax01m01esx02.lax01.rainpole.local</v>
      </c>
    </row>
    <row r="94" spans="1:1">
      <c r="A94" s="5" t="str">
        <f>IF('Hosts and Networks'!J8="n/a","esxi.mgmt-3.address=","esxi.mgmt-3.address="&amp;'Hosts and Networks'!J8)</f>
        <v>esxi.mgmt-3.address=172.17.11.103</v>
      </c>
    </row>
    <row r="95" spans="1:1">
      <c r="A95" s="5" t="str">
        <f>IF('Hosts and Networks'!J7="n/a","esxi.mgmt-3.hostname=","esxi.mgmt-3.hostname="&amp;'Hosts and Networks'!J7)</f>
        <v>esxi.mgmt-3.hostname=lax01m01esx03.lax01.rainpole.local</v>
      </c>
    </row>
    <row r="96" spans="1:1">
      <c r="A96" s="5" t="str">
        <f>IF('Hosts and Networks'!K8="n/a","esxi.mgmt-4.address=","esxi.mgmt-4.address="&amp;'Hosts and Networks'!K8)</f>
        <v>esxi.mgmt-4.address=172.17.11.104</v>
      </c>
    </row>
    <row r="97" spans="1:1">
      <c r="A97" s="5" t="str">
        <f>IF('Hosts and Networks'!K7="n/a","esxi.mgmt-4.hostname=","esxi.mgmt-4.hostname="&amp;'Hosts and Networks'!K7)</f>
        <v>esxi.mgmt-4.hostname=lax01m01esx04.lax01.rainpole.local</v>
      </c>
    </row>
    <row r="98" spans="1:1">
      <c r="A98" s="5" t="str">
        <f>IF('Hosts and Networks'!L8="n/a","esxi.mgmt-5.address=","esxi.mgmt-5.address="&amp;'Hosts and Networks'!L8)</f>
        <v>esxi.mgmt-5.address=</v>
      </c>
    </row>
    <row r="99" spans="1:1">
      <c r="A99" s="5" t="str">
        <f>IF('Hosts and Networks'!L7="n/a","esxi.mgmt-5.hostname=","esxi.mgmt-5.hostname="&amp;'Hosts and Networks'!L7)</f>
        <v>esxi.mgmt-5.hostname=</v>
      </c>
    </row>
    <row r="100" spans="1:1">
      <c r="A100" s="5" t="str">
        <f>IF('Hosts and Networks'!M8="n/a","esxi.mgmt-6.address=","esxi.mgmt-6.address="&amp;'Hosts and Networks'!M8)</f>
        <v>esxi.mgmt-6.address=</v>
      </c>
    </row>
    <row r="101" spans="1:1">
      <c r="A101" s="5" t="str">
        <f>IF('Hosts and Networks'!M7="n/a","esxi.mgmt-6.hostname=","esxi.mgmt-6.hostname="&amp;'Hosts and Networks'!M7)</f>
        <v>esxi.mgmt-6.hostname=</v>
      </c>
    </row>
    <row r="102" spans="1:1">
      <c r="A102" s="5" t="str">
        <f>(IF('Hosts and Networks'!N8="n/a","esxi.mgmt-7.address=","esxi.mgmt-7.address="&amp;'Hosts and Networks'!N8))</f>
        <v>esxi.mgmt-7.address=</v>
      </c>
    </row>
    <row r="103" spans="1:1">
      <c r="A103" s="5" t="str">
        <f>IF('Hosts and Networks'!N7="n/a","esxi.mgmt-7.hostname=","esxi.mgmt-7.hostname="&amp;'Hosts and Networks'!N7)</f>
        <v>esxi.mgmt-7.hostname=</v>
      </c>
    </row>
    <row r="104" spans="1:1">
      <c r="A104" s="5" t="str">
        <f>IF('Hosts and Networks'!O8="n/a","esxi.mgmt-8.address=","esxi.mgmt-8.address="&amp;'Hosts and Networks'!O8)</f>
        <v>esxi.mgmt-8.address=</v>
      </c>
    </row>
    <row r="105" spans="1:1">
      <c r="A105" s="5" t="str">
        <f>IF('Hosts and Networks'!O7="n/a","esxi.mgmt-8.hostname=","esxi.mgmt-8.hostname="&amp;'Hosts and Networks'!O7)</f>
        <v>esxi.mgmt-8.hostname=</v>
      </c>
    </row>
    <row r="106" spans="1:1">
      <c r="A106" s="1" t="s">
        <v>110</v>
      </c>
    </row>
    <row r="107" spans="1:1">
      <c r="A107" s="5" t="str">
        <f>IF('Deploy Parameters'!F13="n/a","datastore-mgmt-high.name=","datastore-mgmt-high.name="&amp;'Deploy Parameters'!F13)</f>
        <v>datastore-mgmt-high.name=lax01-m01-nfs01</v>
      </c>
    </row>
    <row r="108" spans="1:1">
      <c r="A108" s="1" t="s">
        <v>146</v>
      </c>
    </row>
    <row r="109" spans="1:1">
      <c r="A109" s="5" t="str">
        <f>"mgmtVmotionNetwork.cidrNotation="&amp;'Hosts and Networks'!D10</f>
        <v>mgmtVmotionNetwork.cidrNotation=172.17.12.0/24</v>
      </c>
    </row>
    <row r="110" spans="1:1">
      <c r="A110" s="5" t="str">
        <f>"mgmtVmotionNetwork.gateway="&amp;'Hosts and Networks'!E10</f>
        <v>mgmtVmotionNetwork.gateway=172.17.12.253</v>
      </c>
    </row>
    <row r="111" spans="1:1">
      <c r="A111" s="5" t="str">
        <f>IF('Hosts and Networks'!H10="n/a","esx-mgmt-1VmotionVmkernelIp.address=","esx-mgmt-1VmotionVmkernelIp.address="&amp;'Hosts and Networks'!H10)</f>
        <v>esx-mgmt-1VmotionVmkernelIp.address=172.17.12.101</v>
      </c>
    </row>
    <row r="112" spans="1:1">
      <c r="A112" s="5" t="str">
        <f>IF('Hosts and Networks'!I10="n/a","esx-mgmt-2VmotionVmkernelIp.address=","esx-mgmt-2VmotionVmkernelIp.address="&amp;'Hosts and Networks'!I10)</f>
        <v>esx-mgmt-2VmotionVmkernelIp.address=172.17.12.102</v>
      </c>
    </row>
    <row r="113" spans="1:1">
      <c r="A113" s="5" t="str">
        <f>IF('Hosts and Networks'!J10="n/a","esx-mgmt-3VmotionVmkernelIp.address=","esx-mgmt-3VmotionVmkernelIp.address="&amp;'Hosts and Networks'!J10)</f>
        <v>esx-mgmt-3VmotionVmkernelIp.address=172.17.12.103</v>
      </c>
    </row>
    <row r="114" spans="1:1">
      <c r="A114" s="5" t="str">
        <f>IF('Hosts and Networks'!K10="n/a","esx-mgmt-4VmotionVmkernelIp.address=","esx-mgmt-4VmotionVmkernelIp.address="&amp;'Hosts and Networks'!K10)</f>
        <v>esx-mgmt-4VmotionVmkernelIp.address=172.17.12.104</v>
      </c>
    </row>
    <row r="115" spans="1:1">
      <c r="A115" s="5" t="str">
        <f>IF('Hosts and Networks'!L10="n/a","esx-mgmt-5VmotionVmkernelIp.address=","esx-mgmt-5VmotionVmkernelIp.address="&amp;'Hosts and Networks'!L10)</f>
        <v>esx-mgmt-5VmotionVmkernelIp.address=</v>
      </c>
    </row>
    <row r="116" spans="1:1">
      <c r="A116" s="5" t="str">
        <f>IF('Hosts and Networks'!M10="n/a","esx-mgmt-6VmotionVmkernelIp.address=","esx-mgmt-6VmotionVmkernelIp.address="&amp;'Hosts and Networks'!M10)</f>
        <v>esx-mgmt-6VmotionVmkernelIp.address=</v>
      </c>
    </row>
    <row r="117" spans="1:1">
      <c r="A117" s="5" t="str">
        <f>IF('Hosts and Networks'!N10="n/a","esx-mgmt-7VmotionVmkernelIp.address=","esx-mgmt-7VmotionVmkernelIp.address="&amp;'Hosts and Networks'!N10)</f>
        <v>esx-mgmt-7VmotionVmkernelIp.address=</v>
      </c>
    </row>
    <row r="118" spans="1:1">
      <c r="A118" s="5" t="str">
        <f>IF('Hosts and Networks'!O10="n/a","esx-mgmt-8VmotionVmkernelIp.address=","esx-mgmt-8VmotionVmkernelIp.address="&amp;'Hosts and Networks'!O10)</f>
        <v>esx-mgmt-8VmotionVmkernelIp.address=</v>
      </c>
    </row>
    <row r="119" spans="1:1">
      <c r="A119" s="1" t="s">
        <v>406</v>
      </c>
    </row>
    <row r="120" spans="1:1">
      <c r="A120" s="5" t="str">
        <f>IF('Hosts and Networks'!D11="n/a","mgmtVsanNetwork.cidrNotation=","mgmtVsanNetwork.cidrNotation="&amp;'Hosts and Networks'!D11)</f>
        <v>mgmtVsanNetwork.cidrNotation=172.17.13.0/24</v>
      </c>
    </row>
    <row r="121" spans="1:1">
      <c r="A121" s="5" t="str">
        <f>IF('Hosts and Networks'!E11="n/a","mgmtVsanNetwork.gateway=","mgmtVsanNetwork.gateway="&amp;'Hosts and Networks'!E11)</f>
        <v>mgmtVsanNetwork.gateway=172.17.13.253</v>
      </c>
    </row>
    <row r="122" spans="1:1">
      <c r="A122" s="5" t="str">
        <f>IF('Hosts and Networks'!H11="n/a","esx-mgmt-1VsanVmkernelIp.address=","esx-mgmt-1VsanVmkernelIp.address="&amp;'Hosts and Networks'!H11)</f>
        <v>esx-mgmt-1VsanVmkernelIp.address=172.17.13.101</v>
      </c>
    </row>
    <row r="123" spans="1:1">
      <c r="A123" s="5" t="str">
        <f>IF('Hosts and Networks'!I11="n/a","esx-mgmt-2VsanVmkernelIp.address=","esx-mgmt-2VsanVmkernelIp.address="&amp;'Hosts and Networks'!I11)</f>
        <v>esx-mgmt-2VsanVmkernelIp.address=172.17.13.102</v>
      </c>
    </row>
    <row r="124" spans="1:1">
      <c r="A124" s="5" t="str">
        <f>IF('Hosts and Networks'!J11="n/a","esx-mgmt-3VsanVmkernelIp.address=","esx-mgmt-3VsanVmkernelIp.address="&amp;'Hosts and Networks'!J11)</f>
        <v>esx-mgmt-3VsanVmkernelIp.address=172.17.13.103</v>
      </c>
    </row>
    <row r="125" spans="1:1">
      <c r="A125" s="5" t="str">
        <f>IF('Hosts and Networks'!K11="n/a","esx-mgmt-4VsanVmkernelIp.address=","esx-mgmt-4VsanVmkernelIp.address="&amp;'Hosts and Networks'!K11)</f>
        <v>esx-mgmt-4VsanVmkernelIp.address=172.17.13.104</v>
      </c>
    </row>
    <row r="126" spans="1:1">
      <c r="A126" s="5" t="str">
        <f>IF('Hosts and Networks'!L11="n/a","esx-mgmt-5VsanVmkernelIp.address=","esx-mgmt-5VsanVmkernelIp.address="&amp;'Hosts and Networks'!L11)</f>
        <v>esx-mgmt-5VsanVmkernelIp.address=</v>
      </c>
    </row>
    <row r="127" spans="1:1">
      <c r="A127" s="5" t="str">
        <f>IF('Hosts and Networks'!M11="n/a","esx-mgmt-6VsanVmkernelIp.address=","esx-mgmt-6VsanVmkernelIp.address="&amp;'Hosts and Networks'!M11)</f>
        <v>esx-mgmt-6VsanVmkernelIp.address=</v>
      </c>
    </row>
    <row r="128" spans="1:1">
      <c r="A128" s="5" t="str">
        <f>IF('Hosts and Networks'!N11="n/a","esx-mgmt-7VsanVmkernelIp.address=","esx-mgmt-7VsanVmkernelIp.address="&amp;'Hosts and Networks'!N11)</f>
        <v>esx-mgmt-7VsanVmkernelIp.address=</v>
      </c>
    </row>
    <row r="129" spans="1:1">
      <c r="A129" s="5" t="str">
        <f>IF('Hosts and Networks'!O11="n/a","esx-mgmt-8VsanVmkernelIp.address=","esx-mgmt-8VsanVmkernelIp.address="&amp;'Hosts and Networks'!O11)</f>
        <v>esx-mgmt-8VsanVmkernelIp.address=</v>
      </c>
    </row>
    <row r="130" spans="1:1">
      <c r="A130" s="1" t="s">
        <v>407</v>
      </c>
    </row>
    <row r="131" spans="1:1">
      <c r="A131" s="5" t="str">
        <f>IF('Hosts and Networks'!H12="n/a","esx-mgmt-1ReplicationVmkernelIp.address=","esx-mgmt-1ReplicationVmkernelIp.address="&amp;'Hosts and Networks'!H12)</f>
        <v>esx-mgmt-1ReplicationVmkernelIp.address=172.17.16.101</v>
      </c>
    </row>
    <row r="132" spans="1:1">
      <c r="A132" s="5" t="str">
        <f>IF('Hosts and Networks'!I12="n/a","esx-mgmt-2ReplicationVmkernelIp.address=","esx-mgmt-2ReplicationVmkernelIp.address="&amp;'Hosts and Networks'!I12)</f>
        <v>esx-mgmt-2ReplicationVmkernelIp.address=172.17.16.102</v>
      </c>
    </row>
    <row r="133" spans="1:1">
      <c r="A133" s="5" t="str">
        <f>IF('Hosts and Networks'!J12="n/a","esx-mgmt-3ReplicationVmkernelIp.address=","esx-mgmt-3ReplicationVmkernelIp.address="&amp;'Hosts and Networks'!J12)</f>
        <v>esx-mgmt-3ReplicationVmkernelIp.address=172.17.16.103</v>
      </c>
    </row>
    <row r="134" spans="1:1">
      <c r="A134" s="5" t="str">
        <f>IF('Hosts and Networks'!K12="n/a","esx-mgmt-4ReplicationVmkernelIp.address=","esx-mgmt-4ReplicationVmkernelIp.address="&amp;'Hosts and Networks'!K12)</f>
        <v>esx-mgmt-4ReplicationVmkernelIp.address=172.17.16.104</v>
      </c>
    </row>
    <row r="135" spans="1:1">
      <c r="A135" s="5" t="str">
        <f>IF('Hosts and Networks'!L12="n/a","esx-mgmt-5ReplicationVmkernelIp.address=","esx-mgmt-5ReplicationVmkernelIp.address="&amp;'Hosts and Networks'!L12)</f>
        <v>esx-mgmt-5ReplicationVmkernelIp.address=</v>
      </c>
    </row>
    <row r="136" spans="1:1">
      <c r="A136" s="5" t="str">
        <f>IF('Hosts and Networks'!M12="n/a","esx-mgmt-6ReplicationVmkernelIp.address=","esx-mgmt-6ReplicationVmkernelIp.address="&amp;'Hosts and Networks'!M12)</f>
        <v>esx-mgmt-6ReplicationVmkernelIp.address=</v>
      </c>
    </row>
    <row r="137" spans="1:1">
      <c r="A137" s="5" t="str">
        <f>IF('Hosts and Networks'!N12="n/a","esx-mgmt-7ReplicationVmkernelIp.address=","esx-mgmt-7ReplicationVmkernelIp.address="&amp;'Hosts and Networks'!N12)</f>
        <v>esx-mgmt-7ReplicationVmkernelIp.address=</v>
      </c>
    </row>
    <row r="138" spans="1:1" s="6" customFormat="1">
      <c r="A138" s="5" t="str">
        <f>IF('Hosts and Networks'!O12="n/a","esx-mgmt-8ReplicationVmkernelIp.address=","esx-mgmt-8ReplicationVmkernelIp.address="&amp;'Hosts and Networks'!O12)</f>
        <v>esx-mgmt-8ReplicationVmkernelIp.address=</v>
      </c>
    </row>
    <row r="139" spans="1:1">
      <c r="A139" s="6"/>
    </row>
    <row r="140" spans="1:1">
      <c r="A140" s="1" t="s">
        <v>693</v>
      </c>
    </row>
    <row r="141" spans="1:1">
      <c r="A141" s="5" t="str">
        <f>IF('Hosts and Networks'!H19="n/a","esxi.edge-1.address=","esxi.edge-1.address="&amp;'Hosts and Networks'!H19)</f>
        <v>esxi.edge-1.address=172.17.31.101</v>
      </c>
    </row>
    <row r="142" spans="1:1">
      <c r="A142" s="5" t="str">
        <f>IF('Hosts and Networks'!H18="n/a","esxi.edge-1.hostname=","esxi.edge-1.hostname="&amp;'Hosts and Networks'!H18)</f>
        <v>esxi.edge-1.hostname=lax01w01esx01.lax01.rainpole.local</v>
      </c>
    </row>
    <row r="143" spans="1:1">
      <c r="A143" s="5" t="str">
        <f>IF('Hosts and Networks'!I19="n/a","esxi.edge-2.address=","esxi.edge-2.address="&amp;'Hosts and Networks'!I19)</f>
        <v>esxi.edge-2.address=172.17.31.102</v>
      </c>
    </row>
    <row r="144" spans="1:1">
      <c r="A144" s="5" t="str">
        <f>IF('Hosts and Networks'!I18="n/a","esxi.edge-2.hostname=","esxi.edge-2.hostname="&amp;'Hosts and Networks'!I18)</f>
        <v>esxi.edge-2.hostname=lax01w01esx02.lax01.rainpole.local</v>
      </c>
    </row>
    <row r="145" spans="1:1">
      <c r="A145" s="5" t="str">
        <f>IF('Hosts and Networks'!J19="n/a","esxi.edge-3.address=","esxi.edge-3.address="&amp;'Hosts and Networks'!J19)</f>
        <v>esxi.edge-3.address=172.17.31.103</v>
      </c>
    </row>
    <row r="146" spans="1:1">
      <c r="A146" s="5" t="str">
        <f>IF('Hosts and Networks'!J18="n/a","esxi.edge-3.hostname=","esxi.edge-3.hostname="&amp;'Hosts and Networks'!J18)</f>
        <v>esxi.edge-3.hostname=lax01w01esx03.lax01.rainpole.local</v>
      </c>
    </row>
    <row r="147" spans="1:1">
      <c r="A147" s="5" t="str">
        <f>IF('Hosts and Networks'!K19="n/a","esxi.edge-4.address=","esxi.edge-4.address="&amp;'Hosts and Networks'!K19)</f>
        <v>esxi.edge-4.address=172.17.31.104</v>
      </c>
    </row>
    <row r="148" spans="1:1">
      <c r="A148" s="5" t="str">
        <f>IF('Hosts and Networks'!K18="n/a","esxi.edge-4.hostname=","esxi.edge-4.hostname="&amp;'Hosts and Networks'!K18)</f>
        <v>esxi.edge-4.hostname=lax01w01esx04.lax01.rainpole.local</v>
      </c>
    </row>
    <row r="149" spans="1:1">
      <c r="A149" s="5" t="str">
        <f>IF('Hosts and Networks'!L19="n/a","esxi.edge-5.address=","esxi.edge-5.address="&amp;'Hosts and Networks'!L19)</f>
        <v>esxi.edge-5.address=</v>
      </c>
    </row>
    <row r="150" spans="1:1">
      <c r="A150" s="5" t="str">
        <f>IF('Hosts and Networks'!L18="n/a","esxi.edge-5.hostname=","esxi.edge-5.hostname="&amp;'Hosts and Networks'!L18)</f>
        <v>esxi.edge-5.hostname=</v>
      </c>
    </row>
    <row r="151" spans="1:1">
      <c r="A151" s="5" t="str">
        <f>IF('Hosts and Networks'!M19="n/a","esxi.edge-6.address=","esxi.edge-6.address="&amp;'Hosts and Networks'!M19)</f>
        <v>esxi.edge-6.address=</v>
      </c>
    </row>
    <row r="152" spans="1:1">
      <c r="A152" s="5" t="str">
        <f>IF('Hosts and Networks'!M18="n/a","esxi.edge-6.hostname=","esxi.edge-6.hostname="&amp;'Hosts and Networks'!M18)</f>
        <v>esxi.edge-6.hostname=</v>
      </c>
    </row>
    <row r="153" spans="1:1">
      <c r="A153" s="5" t="str">
        <f>IF('Hosts and Networks'!N19="n/a","esxi.edge-7.address=","esxi.edge-7.address="&amp;'Hosts and Networks'!N19)</f>
        <v>esxi.edge-7.address=</v>
      </c>
    </row>
    <row r="154" spans="1:1">
      <c r="A154" s="5" t="str">
        <f>IF('Hosts and Networks'!N18="n/a","esxi.edge-7.hostname=","esxi.edge-7.hostname="&amp;'Hosts and Networks'!N18)</f>
        <v>esxi.edge-7.hostname=</v>
      </c>
    </row>
    <row r="155" spans="1:1">
      <c r="A155" s="5" t="str">
        <f>IF('Hosts and Networks'!O19="n/a","esxi.edge-8.address=","esxi.edge-8.address="&amp;'Hosts and Networks'!O19)</f>
        <v>esxi.edge-8.address=</v>
      </c>
    </row>
    <row r="156" spans="1:1">
      <c r="A156" s="5" t="str">
        <f>IF('Hosts and Networks'!O18="n/a","esxi.edge-8.hostname=","esxi.edge-8.hostname="&amp;'Hosts and Networks'!O18)</f>
        <v>esxi.edge-8.hostname=</v>
      </c>
    </row>
    <row r="157" spans="1:1">
      <c r="A157" s="1" t="s">
        <v>111</v>
      </c>
    </row>
    <row r="158" spans="1:1">
      <c r="A158" s="5" t="str">
        <f>IF('Deploy Parameters'!F14="n/a","datastore-edge-high.name=","datastore-edge-high.name="&amp;'Deploy Parameters'!F14)</f>
        <v>datastore-edge-high.name=lax01-w01-nfs01</v>
      </c>
    </row>
    <row r="159" spans="1:1">
      <c r="A159" s="1" t="s">
        <v>694</v>
      </c>
    </row>
    <row r="160" spans="1:1">
      <c r="A160" s="5" t="str">
        <f>IF('Hosts and Networks'!D21="n/a","edgeVmotionNetwork.cidrNotation=","edgeVmotionNetwork.cidrNotation="&amp;'Hosts and Networks'!D21)</f>
        <v>edgeVmotionNetwork.cidrNotation=172.17.32.0/24</v>
      </c>
    </row>
    <row r="161" spans="1:1">
      <c r="A161" s="5" t="str">
        <f>"edgeVmotionNetwork.gateway="&amp;'Hosts and Networks'!E21</f>
        <v>edgeVmotionNetwork.gateway=172.17.32.253</v>
      </c>
    </row>
    <row r="162" spans="1:1">
      <c r="A162" s="5" t="str">
        <f>IF('Hosts and Networks'!H21="n/a","esx-edge-1VmotionVmkernelIp.address=","esx-edge-1VmotionVmkernelIp.address="&amp;'Hosts and Networks'!H21)</f>
        <v>esx-edge-1VmotionVmkernelIp.address=172.17.32.101</v>
      </c>
    </row>
    <row r="163" spans="1:1">
      <c r="A163" s="5" t="str">
        <f>IF('Hosts and Networks'!I21="n/a","esx-edge-2VmotionVmkernelIp.address=","esx-edge-2VmotionVmkernelIp.address="&amp;'Hosts and Networks'!I21)</f>
        <v>esx-edge-2VmotionVmkernelIp.address=172.17.32.102</v>
      </c>
    </row>
    <row r="164" spans="1:1">
      <c r="A164" s="5" t="str">
        <f>IF('Hosts and Networks'!J21="n/a","esx-edge-3VmotionVmkernelIp.address=","esx-edge-3VmotionVmkernelIp.address="&amp;'Hosts and Networks'!J21)</f>
        <v>esx-edge-3VmotionVmkernelIp.address=172.17.32.103</v>
      </c>
    </row>
    <row r="165" spans="1:1">
      <c r="A165" s="5" t="str">
        <f>IF('Hosts and Networks'!K21="n/a","esx-edge-4VmotionVmkernelIp.address=","esx-edge-4VmotionVmkernelIp.address="&amp;'Hosts and Networks'!K21)</f>
        <v>esx-edge-4VmotionVmkernelIp.address=172.17.32.104</v>
      </c>
    </row>
    <row r="166" spans="1:1">
      <c r="A166" s="5" t="str">
        <f>IF('Hosts and Networks'!L21="n/a","esx-edge-5VmotionVmkernelIp.address=","esx-edge-5VmotionVmkernelIp.address="&amp;'Hosts and Networks'!L21)</f>
        <v>esx-edge-5VmotionVmkernelIp.address=</v>
      </c>
    </row>
    <row r="167" spans="1:1">
      <c r="A167" s="5" t="str">
        <f>IF('Hosts and Networks'!M21="n/a","esx-edge-6VmotionVmkernelIp.address=","esx-edge-6VmotionVmkernelIp.address="&amp;'Hosts and Networks'!M21)</f>
        <v>esx-edge-6VmotionVmkernelIp.address=</v>
      </c>
    </row>
    <row r="168" spans="1:1">
      <c r="A168" s="5" t="str">
        <f>IF('Hosts and Networks'!N21="n/a","esx-edge-7VmotionVmkernelIp.address=","esx-edge-7VmotionVmkernelIp.address="&amp;'Hosts and Networks'!N21)</f>
        <v>esx-edge-7VmotionVmkernelIp.address=</v>
      </c>
    </row>
    <row r="169" spans="1:1">
      <c r="A169" s="5" t="str">
        <f>IF('Hosts and Networks'!O21="n/a","esx-edge-8VmotionVmkernelIp.address=","esx-edge-8VmotionVmkernelIp.address="&amp;'Hosts and Networks'!O21)</f>
        <v>esx-edge-8VmotionVmkernelIp.address=</v>
      </c>
    </row>
    <row r="170" spans="1:1">
      <c r="A170" s="1" t="s">
        <v>695</v>
      </c>
    </row>
    <row r="171" spans="1:1">
      <c r="A171" s="5" t="str">
        <f>IF('Hosts and Networks'!D22="n/a","edgeVsanNetwork.cidrNotation=","edgeVsanNetwork.cidrNotation="&amp;'Hosts and Networks'!D22)</f>
        <v>edgeVsanNetwork.cidrNotation=172.17.33.0/24</v>
      </c>
    </row>
    <row r="172" spans="1:1">
      <c r="A172" s="5" t="str">
        <f>IF('Hosts and Networks'!E22="n/a","edgeVsanNetwork.gateway=","edgeVsanNetwork.gateway="&amp;'Hosts and Networks'!E22)</f>
        <v>edgeVsanNetwork.gateway=172.17.33.253</v>
      </c>
    </row>
    <row r="173" spans="1:1">
      <c r="A173" s="5" t="str">
        <f>IF('Hosts and Networks'!H22="n/a","esx-edge-1VsanVmkernelIp.address=","esx-edge-1VsanVmkernelIp.address="&amp;'Hosts and Networks'!H22)</f>
        <v>esx-edge-1VsanVmkernelIp.address=172.17.33.101</v>
      </c>
    </row>
    <row r="174" spans="1:1">
      <c r="A174" s="5" t="str">
        <f>IF('Hosts and Networks'!I22="n/a","esx-edge-2VsanVmkernelIp.address=","esx-edge-2VsanVmkernelIp.address="&amp;'Hosts and Networks'!I22)</f>
        <v>esx-edge-2VsanVmkernelIp.address=172.17.33.102</v>
      </c>
    </row>
    <row r="175" spans="1:1">
      <c r="A175" s="5" t="str">
        <f>IF('Hosts and Networks'!J22="n/a","esx-edge-3VsanVmkernelIp.address=","esx-edge-3VsanVmkernelIp.address="&amp;'Hosts and Networks'!J22)</f>
        <v>esx-edge-3VsanVmkernelIp.address=172.17.33.103</v>
      </c>
    </row>
    <row r="176" spans="1:1">
      <c r="A176" s="5" t="str">
        <f>IF('Hosts and Networks'!K22="n/a","esx-edge-4VsanVmkernelIp.address=","esx-edge-4VsanVmkernelIp.address="&amp;'Hosts and Networks'!K22)</f>
        <v>esx-edge-4VsanVmkernelIp.address=172.17.33.104</v>
      </c>
    </row>
    <row r="177" spans="1:1">
      <c r="A177" s="5" t="str">
        <f>IF('Hosts and Networks'!L22="n/a","esx-edge-5VsanVmkernelIp.address=","esx-edge-5VsanVmkernelIp.address="&amp;'Hosts and Networks'!L22)</f>
        <v>esx-edge-5VsanVmkernelIp.address=</v>
      </c>
    </row>
    <row r="178" spans="1:1">
      <c r="A178" s="5" t="str">
        <f>IF('Hosts and Networks'!M22="n/a","esx-edge-6VsanVmkernelIp.address=","esx-edge-6VsanVmkernelIp.address="&amp;'Hosts and Networks'!M22)</f>
        <v>esx-edge-6VsanVmkernelIp.address=</v>
      </c>
    </row>
    <row r="179" spans="1:1">
      <c r="A179" s="5" t="str">
        <f>IF('Hosts and Networks'!N22="n/a","esx-edge-7VsanVmkernelIp.address=","esx-edge-7VsanVmkernelIp.address="&amp;'Hosts and Networks'!N22)</f>
        <v>esx-edge-7VsanVmkernelIp.address=</v>
      </c>
    </row>
    <row r="180" spans="1:1">
      <c r="A180" s="5" t="str">
        <f>IF('Hosts and Networks'!O22="n/a","esx-edge-8VsanVmkernelIp.address=","esx-edge-8VsanVmkernelIp.address="&amp;'Hosts and Networks'!O22)</f>
        <v>esx-edge-8VsanVmkernelIp.address=</v>
      </c>
    </row>
    <row r="182" spans="1:1">
      <c r="A182" s="1" t="s">
        <v>515</v>
      </c>
    </row>
    <row r="183" spans="1:1">
      <c r="A183" s="17" t="str">
        <f>IF('Hosts and Networks'!D9="n/a","storageNetwork.cidrNotation=","storageNetwork.cidrNotation="&amp;'Hosts and Networks'!D9)</f>
        <v>storageNetwork.cidrNotation=172.17.15.0/22</v>
      </c>
    </row>
    <row r="184" spans="1:1">
      <c r="A184" s="17" t="str">
        <f>IF('Hosts and Networks'!H9="n/a","esx-mgmt-1StorageVmkernelIp.address=","esx-mgmt-1StorageVmkernelIp.address="&amp;'Hosts and Networks'!H9)</f>
        <v>esx-mgmt-1StorageVmkernelIp.address=172.17.15.101</v>
      </c>
    </row>
    <row r="185" spans="1:1">
      <c r="A185" s="17" t="str">
        <f>IF('Hosts and Networks'!I9="n/a","esx-mgmt-2StorageVmkernelIp.address=","esx-mgmt-2StorageVmkernelIp.address="&amp;'Hosts and Networks'!I9)</f>
        <v>esx-mgmt-2StorageVmkernelIp.address=172.17.15.102</v>
      </c>
    </row>
    <row r="186" spans="1:1">
      <c r="A186" s="17" t="str">
        <f>IF('Hosts and Networks'!J9="n/a","esx-mgmt-3StorageVmkernelIp.address=","esx-mgmt-3StorageVmkernelIp.address="&amp;'Hosts and Networks'!J9)</f>
        <v>esx-mgmt-3StorageVmkernelIp.address=172.17.15.103</v>
      </c>
    </row>
    <row r="187" spans="1:1">
      <c r="A187" s="17" t="str">
        <f>IF('Hosts and Networks'!K9="n/a","esx-mgmt-4StorageVmkernelIp.address=","esx-mgmt-4StorageVmkernelIp.address="&amp;'Hosts and Networks'!K9)</f>
        <v>esx-mgmt-4StorageVmkernelIp.address=172.17.15.104</v>
      </c>
    </row>
    <row r="188" spans="1:1">
      <c r="A188" s="17" t="str">
        <f>IF('Hosts and Networks'!L9="n/a","esx-mgmt-5StorageVmkernelIp.address=","esx-mgmt-5StorageVmkernelIp.address="&amp;'Hosts and Networks'!L9)</f>
        <v>esx-mgmt-5StorageVmkernelIp.address=</v>
      </c>
    </row>
    <row r="189" spans="1:1">
      <c r="A189" s="17" t="str">
        <f>IF('Hosts and Networks'!M9="n/a","esx-mgmt-6StorageVmkernelIp.address=","esx-mgmt-6StorageVmkernelIp.address="&amp;'Hosts and Networks'!M9)</f>
        <v>esx-mgmt-6StorageVmkernelIp.address=</v>
      </c>
    </row>
    <row r="190" spans="1:1">
      <c r="A190" s="17" t="str">
        <f>IF('Hosts and Networks'!N9="n/a","esx-mgmt-7StorageVmkernelIp.address=","esx-mgmt-7StorageVmkernelIp.address="&amp;'Hosts and Networks'!N9)</f>
        <v>esx-mgmt-7StorageVmkernelIp.address=</v>
      </c>
    </row>
    <row r="191" spans="1:1">
      <c r="A191" s="17" t="str">
        <f>IF('Hosts and Networks'!O9="n/a","esx-mgmt-8StorageVmkernelIp.address=","esx-mgmt-8StorageVmkernelIp.address="&amp;'Hosts and Networks'!O9)</f>
        <v>esx-mgmt-8StorageVmkernelIp.address=</v>
      </c>
    </row>
    <row r="192" spans="1:1">
      <c r="A192" s="1" t="s">
        <v>696</v>
      </c>
    </row>
    <row r="193" spans="1:1">
      <c r="A193" s="17" t="str">
        <f>IF('Hosts and Networks'!H20="n/a","esx-edge-1StorageVmkernelIp.address=","esx-edge-1StorageVmkernelIp.address="&amp;'Hosts and Networks'!H20)</f>
        <v>esx-edge-1StorageVmkernelIp.address=172.17.25.101</v>
      </c>
    </row>
    <row r="194" spans="1:1">
      <c r="A194" s="17" t="str">
        <f>IF('Hosts and Networks'!I20="n/a","esx-edge-2StorageVmkernelIp.address=","esx-edge-2StorageVmkernelIp.address="&amp;'Hosts and Networks'!I20)</f>
        <v>esx-edge-2StorageVmkernelIp.address=172.17.25.102</v>
      </c>
    </row>
    <row r="195" spans="1:1">
      <c r="A195" s="17" t="str">
        <f>IF('Hosts and Networks'!J20="n/a","esx-edge-3StorageVmkernelIp.address=","esx-edge-3StorageVmkernelIp.address="&amp;'Hosts and Networks'!J20)</f>
        <v>esx-edge-3StorageVmkernelIp.address=172.17.25.103</v>
      </c>
    </row>
    <row r="196" spans="1:1">
      <c r="A196" s="17" t="str">
        <f>IF('Hosts and Networks'!K20="n/a","esx-edge-4StorageVmkernelIp.address=","esx-edge-4StorageVmkernelIp.address="&amp;'Hosts and Networks'!K20)</f>
        <v>esx-edge-4StorageVmkernelIp.address=172.17.25.104</v>
      </c>
    </row>
    <row r="197" spans="1:1">
      <c r="A197" s="17" t="str">
        <f>IF('Hosts and Networks'!L20="n/a","esx-edge-5StorageVmkernelIp.address=","esx-edge-5StorageVmkernelIp.address="&amp;'Hosts and Networks'!L20)</f>
        <v>esx-edge-5StorageVmkernelIp.address=</v>
      </c>
    </row>
    <row r="198" spans="1:1">
      <c r="A198" s="17" t="str">
        <f>IF('Hosts and Networks'!M20="n/a","esx-edge-6StorageVmkernelIp.address=","esx-edge-6StorageVmkernelIp.address="&amp;'Hosts and Networks'!M20)</f>
        <v>esx-edge-6StorageVmkernelIp.address=</v>
      </c>
    </row>
    <row r="199" spans="1:1">
      <c r="A199" s="17" t="str">
        <f>IF('Hosts and Networks'!N20="n/a","esx-edge-7StorageVmkernelIp.address=","esx-edge-7StorageVmkernelIp.address="&amp;'Hosts and Networks'!N20)</f>
        <v>esx-edge-7StorageVmkernelIp.address=</v>
      </c>
    </row>
    <row r="200" spans="1:1">
      <c r="A200" s="17" t="str">
        <f>IF('Hosts and Networks'!O20="n/a","esx-edge-8StorageVmkernelIp.address=","esx-edge-8StorageVmkernelIp.address="&amp;'Hosts and Networks'!O20)</f>
        <v>esx-edge-8StorageVmkernelIp.address=</v>
      </c>
    </row>
    <row r="201" spans="1:1">
      <c r="A201" s="22"/>
    </row>
    <row r="202" spans="1:1">
      <c r="A202" s="1" t="s">
        <v>220</v>
      </c>
    </row>
    <row r="203" spans="1:1">
      <c r="A203" s="5" t="str">
        <f>"vtepManagementNetwork.gateway="&amp;'Hosts and Networks'!E13</f>
        <v>vtepManagementNetwork.gateway=172.17.14.253</v>
      </c>
    </row>
    <row r="204" spans="1:1">
      <c r="A204" s="5" t="str">
        <f>"vtepManagementNetwork.primaryDns="&amp;'Deploy Parameters'!F8</f>
        <v>vtepManagementNetwork.primaryDns=172.17.11.5</v>
      </c>
    </row>
    <row r="205" spans="1:1">
      <c r="A205" s="5" t="str">
        <f>IF('Deploy Parameters'!F9="n/a","vtepManagementNetwork.secondaryDns=","vtepManagementNetwork.secondaryDns="&amp;'Deploy Parameters'!F9)</f>
        <v>vtepManagementNetwork.secondaryDns=172.17.11.4</v>
      </c>
    </row>
    <row r="206" spans="1:1">
      <c r="A206" s="5" t="str">
        <f>"vtepManagementNetwork.searchDomain="&amp;'Deploy Parameters'!J7</f>
        <v>vtepManagementNetwork.searchDomain=lax01.rainpole.local</v>
      </c>
    </row>
    <row r="207" spans="1:1">
      <c r="A207" s="5" t="str">
        <f>"vtepManagementNetwork.cidrNotation="&amp;'Hosts and Networks'!D13</f>
        <v>vtepManagementNetwork.cidrNotation=172.17.14.0/24</v>
      </c>
    </row>
    <row r="209" spans="1:1">
      <c r="A209" s="1" t="s">
        <v>221</v>
      </c>
    </row>
    <row r="210" spans="1:1">
      <c r="A210" s="5" t="str">
        <f>"vtepEdgeNetwork.gateway="&amp;'Hosts and Networks'!E23</f>
        <v>vtepEdgeNetwork.gateway=172.17.34.253</v>
      </c>
    </row>
    <row r="211" spans="1:1">
      <c r="A211" s="5" t="str">
        <f>"vtepEdgeNetwork.primaryDns="&amp;'Deploy Parameters'!F8</f>
        <v>vtepEdgeNetwork.primaryDns=172.17.11.5</v>
      </c>
    </row>
    <row r="212" spans="1:1">
      <c r="A212" s="5" t="str">
        <f>IF('Deploy Parameters'!F9="n/a","vtepEdgeNetwork.secondaryDns=","vtepEdgeNetwork.secondaryDns="&amp;'Deploy Parameters'!F9)</f>
        <v>vtepEdgeNetwork.secondaryDns=172.17.11.4</v>
      </c>
    </row>
    <row r="213" spans="1:1">
      <c r="A213" s="5" t="str">
        <f>"vtepEdgeNetwork.searchDomain="&amp;'Deploy Parameters'!J7</f>
        <v>vtepEdgeNetwork.searchDomain=lax01.rainpole.local</v>
      </c>
    </row>
    <row r="214" spans="1:1" s="6" customFormat="1">
      <c r="A214" s="5" t="str">
        <f>"vtepEdgeNetwork.cidrNotation="&amp;'Hosts and Networks'!D23</f>
        <v>vtepEdgeNetwork.cidrNotation=172.17.34.0/24</v>
      </c>
    </row>
    <row r="215" spans="1:1">
      <c r="A215" s="6"/>
    </row>
    <row r="216" spans="1:1">
      <c r="A216" s="1" t="s">
        <v>667</v>
      </c>
    </row>
    <row r="217" spans="1:1">
      <c r="A217" s="5" t="str">
        <f>IF('Hosts and Networks'!E9="n/a","StorageManagementNetwork.gateway=","StorageManagementNetwork.gateway="&amp;'Hosts and Networks'!E9)</f>
        <v>StorageManagementNetwork.gateway=172.17.15.253</v>
      </c>
    </row>
    <row r="218" spans="1:1">
      <c r="A218" s="5" t="str">
        <f>IF('Hosts and Networks'!E20="n/a","StorageComputeNetwork.gateway=","StorageComputeNetwork.gateway="&amp;'Hosts and Networks'!E20)</f>
        <v>StorageComputeNetwork.gateway=172.17.25.253</v>
      </c>
    </row>
    <row r="220" spans="1:1">
      <c r="A220" s="1" t="s">
        <v>222</v>
      </c>
    </row>
    <row r="221" spans="1:1">
      <c r="A221" s="5" t="str">
        <f>IF('Deploy Parameters'!G59="n/a","nsx-management-vtep-ip-pool.startAddress=","nsx-management-vtep-ip-pool.startAddress="&amp;'Deploy Parameters'!G59)</f>
        <v>nsx-management-vtep-ip-pool.startAddress=172.17.14.101</v>
      </c>
    </row>
    <row r="222" spans="1:1">
      <c r="A222" s="5" t="str">
        <f>IF('Deploy Parameters'!G60="n/a","nsx-management-vtep-ip-pool.endAddress=","nsx-management-vtep-ip-pool.endAddress="&amp;'Deploy Parameters'!G60)</f>
        <v>nsx-management-vtep-ip-pool.endAddress=172.17.14.116</v>
      </c>
    </row>
    <row r="224" spans="1:1">
      <c r="A224" s="1" t="s">
        <v>96</v>
      </c>
    </row>
    <row r="225" spans="1:1">
      <c r="A225" s="5" t="str">
        <f>IF('Deploy Parameters'!J26="n/a","mgmt-datacenter-name=","mgmt-datacenter-name="&amp;'Deploy Parameters'!J26)</f>
        <v>mgmt-datacenter-name=lax01-m01dc</v>
      </c>
    </row>
    <row r="226" spans="1:1">
      <c r="A226" s="5" t="str">
        <f>IF('Deploy Parameters'!J27="n/a","comp-datacenter-name=","comp-datacenter-name="&amp;'Deploy Parameters'!J27)</f>
        <v>comp-datacenter-name=lax01-w01dc</v>
      </c>
    </row>
    <row r="227" spans="1:1">
      <c r="A227" s="5" t="str">
        <f>IF('Deploy Parameters'!J28="n/a","management-cluster-name=","management-cluster-name="&amp;'Deploy Parameters'!J28)</f>
        <v>management-cluster-name=lax01-m01-mgmt01</v>
      </c>
    </row>
    <row r="228" spans="1:1">
      <c r="A228" s="5" t="str">
        <f>IF('Deploy Parameters'!J29="n/a","collapsed-compute-edge-cluster-name=","collapsed-compute-edge-cluster-name="&amp;'Deploy Parameters'!J29)</f>
        <v>collapsed-compute-edge-cluster-name=lax01-w01-shared01</v>
      </c>
    </row>
    <row r="230" spans="1:1">
      <c r="A230" s="1" t="s">
        <v>97</v>
      </c>
    </row>
    <row r="231" spans="1:1">
      <c r="A231" s="1" t="s">
        <v>98</v>
      </c>
    </row>
    <row r="232" spans="1:1">
      <c r="A232" s="1" t="s">
        <v>99</v>
      </c>
    </row>
    <row r="233" spans="1:1">
      <c r="A233" s="5" t="str">
        <f>IF('Deploy Parameters'!K28="n/a","evc-mode-management-cluster@value=","evc-mode-management-cluster@value="&amp;'Deploy Parameters'!K28)</f>
        <v>evc-mode-management-cluster@value=</v>
      </c>
    </row>
    <row r="234" spans="1:1">
      <c r="A234" s="5" t="str">
        <f>IF('Deploy Parameters'!K29="n/a","evc-mode-collapsed-edge-compute-cluster@value=","evc-mode-collapsed-edge-compute-cluster@value="&amp;'Deploy Parameters'!K29)</f>
        <v>evc-mode-collapsed-edge-compute-cluster@value=</v>
      </c>
    </row>
    <row r="236" spans="1:1">
      <c r="A236" s="1" t="s">
        <v>535</v>
      </c>
    </row>
    <row r="237" spans="1:1">
      <c r="A237" s="5" t="str">
        <f>IF('Deploy Parameters'!J37="n/a","management-host-profile-name@value=","management-host-profile-name@value="&amp;'Deploy Parameters'!J37)</f>
        <v>management-host-profile-name@value=lax01-m01hp-mgmt01</v>
      </c>
    </row>
    <row r="238" spans="1:1">
      <c r="A238" s="5" t="str">
        <f>IF('Deploy Parameters'!J38="n/a","compute-host-profile-name@value=","compute-host-profile-name@value="&amp;'Deploy Parameters'!J38)</f>
        <v>compute-host-profile-name@value=lax01-w01hp-comp01</v>
      </c>
    </row>
    <row r="240" spans="1:1">
      <c r="A240" s="1" t="s">
        <v>585</v>
      </c>
    </row>
    <row r="241" spans="1:16384">
      <c r="A241" s="17" t="str">
        <f>IF('Deploy Parameters'!J22="n/a","mgmt-vm-folder-name@value=","mgmt-vm-folder-name@value="&amp;'Deploy Parameters'!J22&amp;"-m01fd-mgmt")</f>
        <v>mgmt-vm-folder-name@value=lax01-m01fd-mgmt</v>
      </c>
    </row>
    <row r="242" spans="1:16384">
      <c r="A242" s="17" t="str">
        <f>IF('Deploy Parameters'!J22="n/a","nsx-vm-folder-name@value=","nsx-vm-folder-name@value="&amp;'Deploy Parameters'!J22&amp;"-m01fd-nsx")</f>
        <v>nsx-vm-folder-name@value=lax01-m01fd-nsx</v>
      </c>
    </row>
    <row r="243" spans="1:16384">
      <c r="A243" s="17" t="str">
        <f>IF('Deploy Parameters'!J22="n/a","availability-vm-folder-name@value=","availability-vm-folder-name@value="&amp;'Deploy Parameters'!J22&amp;"-m01fd-bcdr")</f>
        <v>availability-vm-folder-name@value=lax01-m01fd-bcdr</v>
      </c>
    </row>
    <row r="244" spans="1:16384">
      <c r="A244" s="17" t="str">
        <f>IF('Deploy Parameters'!J22="n/a","vra-vm-folder-name@value=","vra-vm-folder-name@value="&amp;'Deploy Parameters'!J22&amp;"-m01fd-vra")</f>
        <v>vra-vm-folder-name@value=lax01-m01fd-vra</v>
      </c>
    </row>
    <row r="245" spans="1:16384">
      <c r="A245" s="17" t="str">
        <f>IF('Deploy Parameters'!J22="n/a","vra-ias-vm-folder-name@value=","vra-ias-vm-folder-name@value="&amp;'Deploy Parameters'!J22&amp;"-m01fd-vraias")</f>
        <v>vra-ias-vm-folder-name@value=lax01-m01fd-vraias</v>
      </c>
    </row>
    <row r="246" spans="1:16384">
      <c r="A246" s="17" t="str">
        <f>IF('Deploy Parameters'!J22="n/a","vrops-vm-folder-name@value=","vrops-vm-folder-name@value="&amp;'Deploy Parameters'!J22&amp;"-m01fd-vrops")</f>
        <v>vrops-vm-folder-name@value=lax01-m01fd-vrops</v>
      </c>
    </row>
    <row r="247" spans="1:16384">
      <c r="A247" s="17" t="str">
        <f>IF('Deploy Parameters'!J22="n/a","vrops-rc-vm-folder-name@value=","vrops-rc-vm-folder-name@value="&amp;'Deploy Parameters'!J22&amp;"-m01fd-vropsrc")</f>
        <v>vrops-rc-vm-folder-name@value=lax01-m01fd-vropsrc</v>
      </c>
    </row>
    <row r="248" spans="1:16384" s="6" customFormat="1">
      <c r="A248" s="17" t="str">
        <f>IF('Deploy Parameters'!J22="n/a","vrli-vm-folder-name@value=","vrli-vm-folder-name@value="&amp;'Deploy Parameters'!J22&amp;"-m01fd-vrli")</f>
        <v>vrli-vm-folder-name@value=lax01-m01fd-vrli</v>
      </c>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c r="CW248" s="22"/>
      <c r="CX248" s="22"/>
      <c r="CY248" s="22"/>
      <c r="CZ248" s="22"/>
      <c r="DA248" s="22"/>
      <c r="DB248" s="22"/>
      <c r="DC248" s="22"/>
      <c r="DD248" s="22"/>
      <c r="DE248" s="22"/>
      <c r="DF248" s="22"/>
      <c r="DG248" s="22"/>
      <c r="DH248" s="22"/>
      <c r="DI248" s="22"/>
      <c r="DJ248" s="22"/>
      <c r="DK248" s="22"/>
      <c r="DL248" s="22"/>
      <c r="DM248" s="22"/>
      <c r="DN248" s="22"/>
      <c r="DO248" s="22"/>
      <c r="DP248" s="22"/>
      <c r="DQ248" s="22"/>
      <c r="DR248" s="22"/>
      <c r="DS248" s="22"/>
      <c r="DT248" s="22"/>
      <c r="DU248" s="22"/>
      <c r="DV248" s="22"/>
      <c r="DW248" s="22"/>
      <c r="DX248" s="22"/>
      <c r="DY248" s="22"/>
      <c r="DZ248" s="22"/>
      <c r="EA248" s="22"/>
      <c r="EB248" s="22"/>
      <c r="EC248" s="22"/>
      <c r="ED248" s="22"/>
      <c r="EE248" s="22"/>
      <c r="EF248" s="22"/>
      <c r="EG248" s="22"/>
      <c r="EH248" s="22"/>
      <c r="EI248" s="22"/>
      <c r="EJ248" s="22"/>
      <c r="EK248" s="22"/>
      <c r="EL248" s="22"/>
      <c r="EM248" s="22"/>
      <c r="EN248" s="22"/>
      <c r="EO248" s="22"/>
      <c r="EP248" s="22"/>
      <c r="EQ248" s="22"/>
      <c r="ER248" s="22"/>
      <c r="ES248" s="22"/>
      <c r="ET248" s="22"/>
      <c r="EU248" s="22"/>
      <c r="EV248" s="22"/>
      <c r="EW248" s="22"/>
      <c r="EX248" s="22"/>
      <c r="EY248" s="22"/>
      <c r="EZ248" s="22"/>
      <c r="FA248" s="22"/>
      <c r="FB248" s="22"/>
      <c r="FC248" s="22"/>
      <c r="FD248" s="22"/>
      <c r="FE248" s="22"/>
      <c r="FF248" s="22"/>
      <c r="FG248" s="22"/>
      <c r="FH248" s="22"/>
      <c r="FI248" s="22"/>
      <c r="FJ248" s="22"/>
      <c r="FK248" s="22"/>
      <c r="FL248" s="22"/>
      <c r="FM248" s="22"/>
      <c r="FN248" s="22"/>
      <c r="FO248" s="22"/>
      <c r="FP248" s="22"/>
      <c r="FQ248" s="22"/>
      <c r="FR248" s="22"/>
      <c r="FS248" s="22"/>
      <c r="FT248" s="22"/>
      <c r="FU248" s="22"/>
      <c r="FV248" s="22"/>
      <c r="FW248" s="22"/>
      <c r="FX248" s="22"/>
      <c r="FY248" s="22"/>
      <c r="FZ248" s="22"/>
      <c r="GA248" s="22"/>
      <c r="GB248" s="22"/>
      <c r="GC248" s="22"/>
      <c r="GD248" s="22"/>
      <c r="GE248" s="22"/>
      <c r="GF248" s="22"/>
      <c r="GG248" s="22"/>
      <c r="GH248" s="22"/>
      <c r="GI248" s="22"/>
      <c r="GJ248" s="22"/>
      <c r="GK248" s="22"/>
      <c r="GL248" s="22"/>
      <c r="GM248" s="22"/>
      <c r="GN248" s="22"/>
      <c r="GO248" s="22"/>
      <c r="GP248" s="22"/>
      <c r="GQ248" s="22"/>
      <c r="GR248" s="22"/>
      <c r="GS248" s="22"/>
      <c r="GT248" s="22"/>
      <c r="GU248" s="22"/>
      <c r="GV248" s="22"/>
      <c r="GW248" s="22"/>
      <c r="GX248" s="22"/>
      <c r="GY248" s="22"/>
      <c r="GZ248" s="22"/>
      <c r="HA248" s="22"/>
      <c r="HB248" s="22"/>
      <c r="HC248" s="22"/>
      <c r="HD248" s="22"/>
      <c r="HE248" s="22"/>
      <c r="HF248" s="22"/>
      <c r="HG248" s="22"/>
      <c r="HH248" s="22"/>
      <c r="HI248" s="22"/>
      <c r="HJ248" s="22"/>
      <c r="HK248" s="22"/>
      <c r="HL248" s="22"/>
      <c r="HM248" s="22"/>
      <c r="HN248" s="22"/>
      <c r="HO248" s="22"/>
      <c r="HP248" s="22"/>
      <c r="HQ248" s="22"/>
      <c r="HR248" s="22"/>
      <c r="HS248" s="22"/>
      <c r="HT248" s="22"/>
      <c r="HU248" s="22"/>
      <c r="HV248" s="22"/>
      <c r="HW248" s="22"/>
      <c r="HX248" s="22"/>
      <c r="HY248" s="22"/>
      <c r="HZ248" s="22"/>
      <c r="IA248" s="22"/>
      <c r="IB248" s="22"/>
      <c r="IC248" s="22"/>
      <c r="ID248" s="22"/>
      <c r="IE248" s="22"/>
      <c r="IF248" s="22"/>
      <c r="IG248" s="22"/>
      <c r="IH248" s="22"/>
      <c r="II248" s="22"/>
      <c r="IJ248" s="22"/>
      <c r="IK248" s="22"/>
      <c r="IL248" s="22"/>
      <c r="IM248" s="22"/>
      <c r="IN248" s="22"/>
      <c r="IO248" s="22"/>
      <c r="IP248" s="22"/>
      <c r="IQ248" s="22"/>
      <c r="IR248" s="22"/>
      <c r="IS248" s="22"/>
      <c r="IT248" s="22"/>
      <c r="IU248" s="22"/>
      <c r="IV248" s="22"/>
      <c r="IW248" s="22"/>
      <c r="IX248" s="22"/>
      <c r="IY248" s="22"/>
      <c r="IZ248" s="22"/>
      <c r="JA248" s="22"/>
      <c r="JB248" s="22"/>
      <c r="JC248" s="22"/>
      <c r="JD248" s="22"/>
      <c r="JE248" s="22"/>
      <c r="JF248" s="22"/>
      <c r="JG248" s="22"/>
      <c r="JH248" s="22"/>
      <c r="JI248" s="22"/>
      <c r="JJ248" s="22"/>
      <c r="JK248" s="22"/>
      <c r="JL248" s="22"/>
      <c r="JM248" s="22"/>
      <c r="JN248" s="22"/>
      <c r="JO248" s="22"/>
      <c r="JP248" s="22"/>
      <c r="JQ248" s="22"/>
      <c r="JR248" s="22"/>
      <c r="JS248" s="22"/>
      <c r="JT248" s="22"/>
      <c r="JU248" s="22"/>
      <c r="JV248" s="22"/>
      <c r="JW248" s="22"/>
      <c r="JX248" s="22"/>
      <c r="JY248" s="22"/>
      <c r="JZ248" s="22"/>
      <c r="KA248" s="22"/>
      <c r="KB248" s="22"/>
      <c r="KC248" s="22"/>
      <c r="KD248" s="22"/>
      <c r="KE248" s="22"/>
      <c r="KF248" s="22"/>
      <c r="KG248" s="22"/>
      <c r="KH248" s="22"/>
      <c r="KI248" s="22"/>
      <c r="KJ248" s="22"/>
      <c r="KK248" s="22"/>
      <c r="KL248" s="22"/>
      <c r="KM248" s="22"/>
      <c r="KN248" s="22"/>
      <c r="KO248" s="22"/>
      <c r="KP248" s="22"/>
      <c r="KQ248" s="22"/>
      <c r="KR248" s="22"/>
      <c r="KS248" s="22"/>
      <c r="KT248" s="22"/>
      <c r="KU248" s="22"/>
      <c r="KV248" s="22"/>
      <c r="KW248" s="22"/>
      <c r="KX248" s="22"/>
      <c r="KY248" s="22"/>
      <c r="KZ248" s="22"/>
      <c r="LA248" s="22"/>
      <c r="LB248" s="22"/>
      <c r="LC248" s="22"/>
      <c r="LD248" s="22"/>
      <c r="LE248" s="22"/>
      <c r="LF248" s="22"/>
      <c r="LG248" s="22"/>
      <c r="LH248" s="22"/>
      <c r="LI248" s="22"/>
      <c r="LJ248" s="22"/>
      <c r="LK248" s="22"/>
      <c r="LL248" s="22"/>
      <c r="LM248" s="22"/>
      <c r="LN248" s="22"/>
      <c r="LO248" s="22"/>
      <c r="LP248" s="22"/>
      <c r="LQ248" s="22"/>
      <c r="LR248" s="22"/>
      <c r="LS248" s="22"/>
      <c r="LT248" s="22"/>
      <c r="LU248" s="22"/>
      <c r="LV248" s="22"/>
      <c r="LW248" s="22"/>
      <c r="LX248" s="22"/>
      <c r="LY248" s="22"/>
      <c r="LZ248" s="22"/>
      <c r="MA248" s="22"/>
      <c r="MB248" s="22"/>
      <c r="MC248" s="22"/>
      <c r="MD248" s="22"/>
      <c r="ME248" s="22"/>
      <c r="MF248" s="22"/>
      <c r="MG248" s="22"/>
      <c r="MH248" s="22"/>
      <c r="MI248" s="22"/>
      <c r="MJ248" s="22"/>
      <c r="MK248" s="22"/>
      <c r="ML248" s="22"/>
      <c r="MM248" s="22"/>
      <c r="MN248" s="22"/>
      <c r="MO248" s="22"/>
      <c r="MP248" s="22"/>
      <c r="MQ248" s="22"/>
      <c r="MR248" s="22"/>
      <c r="MS248" s="22"/>
      <c r="MT248" s="22"/>
      <c r="MU248" s="22"/>
      <c r="MV248" s="22"/>
      <c r="MW248" s="22"/>
      <c r="MX248" s="22"/>
      <c r="MY248" s="22"/>
      <c r="MZ248" s="22"/>
      <c r="NA248" s="22"/>
      <c r="NB248" s="22"/>
      <c r="NC248" s="22"/>
      <c r="ND248" s="22"/>
      <c r="NE248" s="22"/>
      <c r="NF248" s="22"/>
      <c r="NG248" s="22"/>
      <c r="NH248" s="22"/>
      <c r="NI248" s="22"/>
      <c r="NJ248" s="22"/>
      <c r="NK248" s="22"/>
      <c r="NL248" s="22"/>
      <c r="NM248" s="22"/>
      <c r="NN248" s="22"/>
      <c r="NO248" s="22"/>
      <c r="NP248" s="22"/>
      <c r="NQ248" s="22"/>
      <c r="NR248" s="22"/>
      <c r="NS248" s="22"/>
      <c r="NT248" s="22"/>
      <c r="NU248" s="22"/>
      <c r="NV248" s="22"/>
      <c r="NW248" s="22"/>
      <c r="NX248" s="22"/>
      <c r="NY248" s="22"/>
      <c r="NZ248" s="22"/>
      <c r="OA248" s="22"/>
      <c r="OB248" s="22"/>
      <c r="OC248" s="22"/>
      <c r="OD248" s="22"/>
      <c r="OE248" s="22"/>
      <c r="OF248" s="22"/>
      <c r="OG248" s="22"/>
      <c r="OH248" s="22"/>
      <c r="OI248" s="22"/>
      <c r="OJ248" s="22"/>
      <c r="OK248" s="22"/>
      <c r="OL248" s="22"/>
      <c r="OM248" s="22"/>
      <c r="ON248" s="22"/>
      <c r="OO248" s="22"/>
      <c r="OP248" s="22"/>
      <c r="OQ248" s="22"/>
      <c r="OR248" s="22"/>
      <c r="OS248" s="22"/>
      <c r="OT248" s="22"/>
      <c r="OU248" s="22"/>
      <c r="OV248" s="22"/>
      <c r="OW248" s="22"/>
      <c r="OX248" s="22"/>
      <c r="OY248" s="22"/>
      <c r="OZ248" s="22"/>
      <c r="PA248" s="22"/>
      <c r="PB248" s="22"/>
      <c r="PC248" s="22"/>
      <c r="PD248" s="22"/>
      <c r="PE248" s="22"/>
      <c r="PF248" s="22"/>
      <c r="PG248" s="22"/>
      <c r="PH248" s="22"/>
      <c r="PI248" s="22"/>
      <c r="PJ248" s="22"/>
      <c r="PK248" s="22"/>
      <c r="PL248" s="22"/>
      <c r="PM248" s="22"/>
      <c r="PN248" s="22"/>
      <c r="PO248" s="22"/>
      <c r="PP248" s="22"/>
      <c r="PQ248" s="22"/>
      <c r="PR248" s="22"/>
      <c r="PS248" s="22"/>
      <c r="PT248" s="22"/>
      <c r="PU248" s="22"/>
      <c r="PV248" s="22"/>
      <c r="PW248" s="22"/>
      <c r="PX248" s="22"/>
      <c r="PY248" s="22"/>
      <c r="PZ248" s="22"/>
      <c r="QA248" s="22"/>
      <c r="QB248" s="22"/>
      <c r="QC248" s="22"/>
      <c r="QD248" s="22"/>
      <c r="QE248" s="22"/>
      <c r="QF248" s="22"/>
      <c r="QG248" s="22"/>
      <c r="QH248" s="22"/>
      <c r="QI248" s="22"/>
      <c r="QJ248" s="22"/>
      <c r="QK248" s="22"/>
      <c r="QL248" s="22"/>
      <c r="QM248" s="22"/>
      <c r="QN248" s="22"/>
      <c r="QO248" s="22"/>
      <c r="QP248" s="22"/>
      <c r="QQ248" s="22"/>
      <c r="QR248" s="22"/>
      <c r="QS248" s="22"/>
      <c r="QT248" s="22"/>
      <c r="QU248" s="22"/>
      <c r="QV248" s="22"/>
      <c r="QW248" s="22"/>
      <c r="QX248" s="22"/>
      <c r="QY248" s="22"/>
      <c r="QZ248" s="22"/>
      <c r="RA248" s="22"/>
      <c r="RB248" s="22"/>
      <c r="RC248" s="22"/>
      <c r="RD248" s="22"/>
      <c r="RE248" s="22"/>
      <c r="RF248" s="22"/>
      <c r="RG248" s="22"/>
      <c r="RH248" s="22"/>
      <c r="RI248" s="22"/>
      <c r="RJ248" s="22"/>
      <c r="RK248" s="22"/>
      <c r="RL248" s="22"/>
      <c r="RM248" s="22"/>
      <c r="RN248" s="22"/>
      <c r="RO248" s="22"/>
      <c r="RP248" s="22"/>
      <c r="RQ248" s="22"/>
      <c r="RR248" s="22"/>
      <c r="RS248" s="22"/>
      <c r="RT248" s="22"/>
      <c r="RU248" s="22"/>
      <c r="RV248" s="22"/>
      <c r="RW248" s="22"/>
      <c r="RX248" s="22"/>
      <c r="RY248" s="22"/>
      <c r="RZ248" s="22"/>
      <c r="SA248" s="22"/>
      <c r="SB248" s="22"/>
      <c r="SC248" s="22"/>
      <c r="SD248" s="22"/>
      <c r="SE248" s="22"/>
      <c r="SF248" s="22"/>
      <c r="SG248" s="22"/>
      <c r="SH248" s="22"/>
      <c r="SI248" s="22"/>
      <c r="SJ248" s="22"/>
      <c r="SK248" s="22"/>
      <c r="SL248" s="22"/>
      <c r="SM248" s="22"/>
      <c r="SN248" s="22"/>
      <c r="SO248" s="22"/>
      <c r="SP248" s="22"/>
      <c r="SQ248" s="22"/>
      <c r="SR248" s="22"/>
      <c r="SS248" s="22"/>
      <c r="ST248" s="22"/>
      <c r="SU248" s="22"/>
      <c r="SV248" s="22"/>
      <c r="SW248" s="22"/>
      <c r="SX248" s="22"/>
      <c r="SY248" s="22"/>
      <c r="SZ248" s="22"/>
      <c r="TA248" s="22"/>
      <c r="TB248" s="22"/>
      <c r="TC248" s="22"/>
      <c r="TD248" s="22"/>
      <c r="TE248" s="22"/>
      <c r="TF248" s="22"/>
      <c r="TG248" s="22"/>
      <c r="TH248" s="22"/>
      <c r="TI248" s="22"/>
      <c r="TJ248" s="22"/>
      <c r="TK248" s="22"/>
      <c r="TL248" s="22"/>
      <c r="TM248" s="22"/>
      <c r="TN248" s="22"/>
      <c r="TO248" s="22"/>
      <c r="TP248" s="22"/>
      <c r="TQ248" s="22"/>
      <c r="TR248" s="22"/>
      <c r="TS248" s="22"/>
      <c r="TT248" s="22"/>
      <c r="TU248" s="22"/>
      <c r="TV248" s="22"/>
      <c r="TW248" s="22"/>
      <c r="TX248" s="22"/>
      <c r="TY248" s="22"/>
      <c r="TZ248" s="22"/>
      <c r="UA248" s="22"/>
      <c r="UB248" s="22"/>
      <c r="UC248" s="22"/>
      <c r="UD248" s="22"/>
      <c r="UE248" s="22"/>
      <c r="UF248" s="22"/>
      <c r="UG248" s="22"/>
      <c r="UH248" s="22"/>
      <c r="UI248" s="22"/>
      <c r="UJ248" s="22"/>
      <c r="UK248" s="22"/>
      <c r="UL248" s="22"/>
      <c r="UM248" s="22"/>
      <c r="UN248" s="22"/>
      <c r="UO248" s="22"/>
      <c r="UP248" s="22"/>
      <c r="UQ248" s="22"/>
      <c r="UR248" s="22"/>
      <c r="US248" s="22"/>
      <c r="UT248" s="22"/>
      <c r="UU248" s="22"/>
      <c r="UV248" s="22"/>
      <c r="UW248" s="22"/>
      <c r="UX248" s="22"/>
      <c r="UY248" s="22"/>
      <c r="UZ248" s="22"/>
      <c r="VA248" s="22"/>
      <c r="VB248" s="22"/>
      <c r="VC248" s="22"/>
      <c r="VD248" s="22"/>
      <c r="VE248" s="22"/>
      <c r="VF248" s="22"/>
      <c r="VG248" s="22"/>
      <c r="VH248" s="22"/>
      <c r="VI248" s="22"/>
      <c r="VJ248" s="22"/>
      <c r="VK248" s="22"/>
      <c r="VL248" s="22"/>
      <c r="VM248" s="22"/>
      <c r="VN248" s="22"/>
      <c r="VO248" s="22"/>
      <c r="VP248" s="22"/>
      <c r="VQ248" s="22"/>
      <c r="VR248" s="22"/>
      <c r="VS248" s="22"/>
      <c r="VT248" s="22"/>
      <c r="VU248" s="22"/>
      <c r="VV248" s="22"/>
      <c r="VW248" s="22"/>
      <c r="VX248" s="22"/>
      <c r="VY248" s="22"/>
      <c r="VZ248" s="22"/>
      <c r="WA248" s="22"/>
      <c r="WB248" s="22"/>
      <c r="WC248" s="22"/>
      <c r="WD248" s="22"/>
      <c r="WE248" s="22"/>
      <c r="WF248" s="22"/>
      <c r="WG248" s="22"/>
      <c r="WH248" s="22"/>
      <c r="WI248" s="22"/>
      <c r="WJ248" s="22"/>
      <c r="WK248" s="22"/>
      <c r="WL248" s="22"/>
      <c r="WM248" s="22"/>
      <c r="WN248" s="22"/>
      <c r="WO248" s="22"/>
      <c r="WP248" s="22"/>
      <c r="WQ248" s="22"/>
      <c r="WR248" s="22"/>
      <c r="WS248" s="22"/>
      <c r="WT248" s="22"/>
      <c r="WU248" s="22"/>
      <c r="WV248" s="22"/>
      <c r="WW248" s="22"/>
      <c r="WX248" s="22"/>
      <c r="WY248" s="22"/>
      <c r="WZ248" s="22"/>
      <c r="XA248" s="22"/>
      <c r="XB248" s="22"/>
      <c r="XC248" s="22"/>
      <c r="XD248" s="22"/>
      <c r="XE248" s="22"/>
      <c r="XF248" s="22"/>
      <c r="XG248" s="22"/>
      <c r="XH248" s="22"/>
      <c r="XI248" s="22"/>
      <c r="XJ248" s="22"/>
      <c r="XK248" s="22"/>
      <c r="XL248" s="22"/>
      <c r="XM248" s="22"/>
      <c r="XN248" s="22"/>
      <c r="XO248" s="22"/>
      <c r="XP248" s="22"/>
      <c r="XQ248" s="22"/>
      <c r="XR248" s="22"/>
      <c r="XS248" s="22"/>
      <c r="XT248" s="22"/>
      <c r="XU248" s="22"/>
      <c r="XV248" s="22"/>
      <c r="XW248" s="22"/>
      <c r="XX248" s="22"/>
      <c r="XY248" s="22"/>
      <c r="XZ248" s="22"/>
      <c r="YA248" s="22"/>
      <c r="YB248" s="22"/>
      <c r="YC248" s="22"/>
      <c r="YD248" s="22"/>
      <c r="YE248" s="22"/>
      <c r="YF248" s="22"/>
      <c r="YG248" s="22"/>
      <c r="YH248" s="22"/>
      <c r="YI248" s="22"/>
      <c r="YJ248" s="22"/>
      <c r="YK248" s="22"/>
      <c r="YL248" s="22"/>
      <c r="YM248" s="22"/>
      <c r="YN248" s="22"/>
      <c r="YO248" s="22"/>
      <c r="YP248" s="22"/>
      <c r="YQ248" s="22"/>
      <c r="YR248" s="22"/>
      <c r="YS248" s="22"/>
      <c r="YT248" s="22"/>
      <c r="YU248" s="22"/>
      <c r="YV248" s="22"/>
      <c r="YW248" s="22"/>
      <c r="YX248" s="22"/>
      <c r="YY248" s="22"/>
      <c r="YZ248" s="22"/>
      <c r="ZA248" s="22"/>
      <c r="ZB248" s="22"/>
      <c r="ZC248" s="22"/>
      <c r="ZD248" s="22"/>
      <c r="ZE248" s="22"/>
      <c r="ZF248" s="22"/>
      <c r="ZG248" s="22"/>
      <c r="ZH248" s="22"/>
      <c r="ZI248" s="22"/>
      <c r="ZJ248" s="22"/>
      <c r="ZK248" s="22"/>
      <c r="ZL248" s="22"/>
      <c r="ZM248" s="22"/>
      <c r="ZN248" s="22"/>
      <c r="ZO248" s="22"/>
      <c r="ZP248" s="22"/>
      <c r="ZQ248" s="22"/>
      <c r="ZR248" s="22"/>
      <c r="ZS248" s="22"/>
      <c r="ZT248" s="22"/>
      <c r="ZU248" s="22"/>
      <c r="ZV248" s="22"/>
      <c r="ZW248" s="22"/>
      <c r="ZX248" s="22"/>
      <c r="ZY248" s="22"/>
      <c r="ZZ248" s="22"/>
      <c r="AAA248" s="22"/>
      <c r="AAB248" s="22"/>
      <c r="AAC248" s="22"/>
      <c r="AAD248" s="22"/>
      <c r="AAE248" s="22"/>
      <c r="AAF248" s="22"/>
      <c r="AAG248" s="22"/>
      <c r="AAH248" s="22"/>
      <c r="AAI248" s="22"/>
      <c r="AAJ248" s="22"/>
      <c r="AAK248" s="22"/>
      <c r="AAL248" s="22"/>
      <c r="AAM248" s="22"/>
      <c r="AAN248" s="22"/>
      <c r="AAO248" s="22"/>
      <c r="AAP248" s="22"/>
      <c r="AAQ248" s="22"/>
      <c r="AAR248" s="22"/>
      <c r="AAS248" s="22"/>
      <c r="AAT248" s="22"/>
      <c r="AAU248" s="22"/>
      <c r="AAV248" s="22"/>
      <c r="AAW248" s="22"/>
      <c r="AAX248" s="22"/>
      <c r="AAY248" s="22"/>
      <c r="AAZ248" s="22"/>
      <c r="ABA248" s="22"/>
      <c r="ABB248" s="22"/>
      <c r="ABC248" s="22"/>
      <c r="ABD248" s="22"/>
      <c r="ABE248" s="22"/>
      <c r="ABF248" s="22"/>
      <c r="ABG248" s="22"/>
      <c r="ABH248" s="22"/>
      <c r="ABI248" s="22"/>
      <c r="ABJ248" s="22"/>
      <c r="ABK248" s="22"/>
      <c r="ABL248" s="22"/>
      <c r="ABM248" s="22"/>
      <c r="ABN248" s="22"/>
      <c r="ABO248" s="22"/>
      <c r="ABP248" s="22"/>
      <c r="ABQ248" s="22"/>
      <c r="ABR248" s="22"/>
      <c r="ABS248" s="22"/>
      <c r="ABT248" s="22"/>
      <c r="ABU248" s="22"/>
      <c r="ABV248" s="22"/>
      <c r="ABW248" s="22"/>
      <c r="ABX248" s="22"/>
      <c r="ABY248" s="22"/>
      <c r="ABZ248" s="22"/>
      <c r="ACA248" s="22"/>
      <c r="ACB248" s="22"/>
      <c r="ACC248" s="22"/>
      <c r="ACD248" s="22"/>
      <c r="ACE248" s="22"/>
      <c r="ACF248" s="22"/>
      <c r="ACG248" s="22"/>
      <c r="ACH248" s="22"/>
      <c r="ACI248" s="22"/>
      <c r="ACJ248" s="22"/>
      <c r="ACK248" s="22"/>
      <c r="ACL248" s="22"/>
      <c r="ACM248" s="22"/>
      <c r="ACN248" s="22"/>
      <c r="ACO248" s="22"/>
      <c r="ACP248" s="22"/>
      <c r="ACQ248" s="22"/>
      <c r="ACR248" s="22"/>
      <c r="ACS248" s="22"/>
      <c r="ACT248" s="22"/>
      <c r="ACU248" s="22"/>
      <c r="ACV248" s="22"/>
      <c r="ACW248" s="22"/>
      <c r="ACX248" s="22"/>
      <c r="ACY248" s="22"/>
      <c r="ACZ248" s="22"/>
      <c r="ADA248" s="22"/>
      <c r="ADB248" s="22"/>
      <c r="ADC248" s="22"/>
      <c r="ADD248" s="22"/>
      <c r="ADE248" s="22"/>
      <c r="ADF248" s="22"/>
      <c r="ADG248" s="22"/>
      <c r="ADH248" s="22"/>
      <c r="ADI248" s="22"/>
      <c r="ADJ248" s="22"/>
      <c r="ADK248" s="22"/>
      <c r="ADL248" s="22"/>
      <c r="ADM248" s="22"/>
      <c r="ADN248" s="22"/>
      <c r="ADO248" s="22"/>
      <c r="ADP248" s="22"/>
      <c r="ADQ248" s="22"/>
      <c r="ADR248" s="22"/>
      <c r="ADS248" s="22"/>
      <c r="ADT248" s="22"/>
      <c r="ADU248" s="22"/>
      <c r="ADV248" s="22"/>
      <c r="ADW248" s="22"/>
      <c r="ADX248" s="22"/>
      <c r="ADY248" s="22"/>
      <c r="ADZ248" s="22"/>
      <c r="AEA248" s="22"/>
      <c r="AEB248" s="22"/>
      <c r="AEC248" s="22"/>
      <c r="AED248" s="22"/>
      <c r="AEE248" s="22"/>
      <c r="AEF248" s="22"/>
      <c r="AEG248" s="22"/>
      <c r="AEH248" s="22"/>
      <c r="AEI248" s="22"/>
      <c r="AEJ248" s="22"/>
      <c r="AEK248" s="22"/>
      <c r="AEL248" s="22"/>
      <c r="AEM248" s="22"/>
      <c r="AEN248" s="22"/>
      <c r="AEO248" s="22"/>
      <c r="AEP248" s="22"/>
      <c r="AEQ248" s="22"/>
      <c r="AER248" s="22"/>
      <c r="AES248" s="22"/>
      <c r="AET248" s="22"/>
      <c r="AEU248" s="22"/>
      <c r="AEV248" s="22"/>
      <c r="AEW248" s="22"/>
      <c r="AEX248" s="22"/>
      <c r="AEY248" s="22"/>
      <c r="AEZ248" s="22"/>
      <c r="AFA248" s="22"/>
      <c r="AFB248" s="22"/>
      <c r="AFC248" s="22"/>
      <c r="AFD248" s="22"/>
      <c r="AFE248" s="22"/>
      <c r="AFF248" s="22"/>
      <c r="AFG248" s="22"/>
      <c r="AFH248" s="22"/>
      <c r="AFI248" s="22"/>
      <c r="AFJ248" s="22"/>
      <c r="AFK248" s="22"/>
      <c r="AFL248" s="22"/>
      <c r="AFM248" s="22"/>
      <c r="AFN248" s="22"/>
      <c r="AFO248" s="22"/>
      <c r="AFP248" s="22"/>
      <c r="AFQ248" s="22"/>
      <c r="AFR248" s="22"/>
      <c r="AFS248" s="22"/>
      <c r="AFT248" s="22"/>
      <c r="AFU248" s="22"/>
      <c r="AFV248" s="22"/>
      <c r="AFW248" s="22"/>
      <c r="AFX248" s="22"/>
      <c r="AFY248" s="22"/>
      <c r="AFZ248" s="22"/>
      <c r="AGA248" s="22"/>
      <c r="AGB248" s="22"/>
      <c r="AGC248" s="22"/>
      <c r="AGD248" s="22"/>
      <c r="AGE248" s="22"/>
      <c r="AGF248" s="22"/>
      <c r="AGG248" s="22"/>
      <c r="AGH248" s="22"/>
      <c r="AGI248" s="22"/>
      <c r="AGJ248" s="22"/>
      <c r="AGK248" s="22"/>
      <c r="AGL248" s="22"/>
      <c r="AGM248" s="22"/>
      <c r="AGN248" s="22"/>
      <c r="AGO248" s="22"/>
      <c r="AGP248" s="22"/>
      <c r="AGQ248" s="22"/>
      <c r="AGR248" s="22"/>
      <c r="AGS248" s="22"/>
      <c r="AGT248" s="22"/>
      <c r="AGU248" s="22"/>
      <c r="AGV248" s="22"/>
      <c r="AGW248" s="22"/>
      <c r="AGX248" s="22"/>
      <c r="AGY248" s="22"/>
      <c r="AGZ248" s="22"/>
      <c r="AHA248" s="22"/>
      <c r="AHB248" s="22"/>
      <c r="AHC248" s="22"/>
      <c r="AHD248" s="22"/>
      <c r="AHE248" s="22"/>
      <c r="AHF248" s="22"/>
      <c r="AHG248" s="22"/>
      <c r="AHH248" s="22"/>
      <c r="AHI248" s="22"/>
      <c r="AHJ248" s="22"/>
      <c r="AHK248" s="22"/>
      <c r="AHL248" s="22"/>
      <c r="AHM248" s="22"/>
      <c r="AHN248" s="22"/>
      <c r="AHO248" s="22"/>
      <c r="AHP248" s="22"/>
      <c r="AHQ248" s="22"/>
      <c r="AHR248" s="22"/>
      <c r="AHS248" s="22"/>
      <c r="AHT248" s="22"/>
      <c r="AHU248" s="22"/>
      <c r="AHV248" s="22"/>
      <c r="AHW248" s="22"/>
      <c r="AHX248" s="22"/>
      <c r="AHY248" s="22"/>
      <c r="AHZ248" s="22"/>
      <c r="AIA248" s="22"/>
      <c r="AIB248" s="22"/>
      <c r="AIC248" s="22"/>
      <c r="AID248" s="22"/>
      <c r="AIE248" s="22"/>
      <c r="AIF248" s="22"/>
      <c r="AIG248" s="22"/>
      <c r="AIH248" s="22"/>
      <c r="AII248" s="22"/>
      <c r="AIJ248" s="22"/>
      <c r="AIK248" s="22"/>
      <c r="AIL248" s="22"/>
      <c r="AIM248" s="22"/>
      <c r="AIN248" s="22"/>
      <c r="AIO248" s="22"/>
      <c r="AIP248" s="22"/>
      <c r="AIQ248" s="22"/>
      <c r="AIR248" s="22"/>
      <c r="AIS248" s="22"/>
      <c r="AIT248" s="22"/>
      <c r="AIU248" s="22"/>
      <c r="AIV248" s="22"/>
      <c r="AIW248" s="22"/>
      <c r="AIX248" s="22"/>
      <c r="AIY248" s="22"/>
      <c r="AIZ248" s="22"/>
      <c r="AJA248" s="22"/>
      <c r="AJB248" s="22"/>
      <c r="AJC248" s="22"/>
      <c r="AJD248" s="22"/>
      <c r="AJE248" s="22"/>
      <c r="AJF248" s="22"/>
      <c r="AJG248" s="22"/>
      <c r="AJH248" s="22"/>
      <c r="AJI248" s="22"/>
      <c r="AJJ248" s="22"/>
      <c r="AJK248" s="22"/>
      <c r="AJL248" s="22"/>
      <c r="AJM248" s="22"/>
      <c r="AJN248" s="22"/>
      <c r="AJO248" s="22"/>
      <c r="AJP248" s="22"/>
      <c r="AJQ248" s="22"/>
      <c r="AJR248" s="22"/>
      <c r="AJS248" s="22"/>
      <c r="AJT248" s="22"/>
      <c r="AJU248" s="22"/>
      <c r="AJV248" s="22"/>
      <c r="AJW248" s="22"/>
      <c r="AJX248" s="22"/>
      <c r="AJY248" s="22"/>
      <c r="AJZ248" s="22"/>
      <c r="AKA248" s="22"/>
      <c r="AKB248" s="22"/>
      <c r="AKC248" s="22"/>
      <c r="AKD248" s="22"/>
      <c r="AKE248" s="22"/>
      <c r="AKF248" s="22"/>
      <c r="AKG248" s="22"/>
      <c r="AKH248" s="22"/>
      <c r="AKI248" s="22"/>
      <c r="AKJ248" s="22"/>
      <c r="AKK248" s="22"/>
      <c r="AKL248" s="22"/>
      <c r="AKM248" s="22"/>
      <c r="AKN248" s="22"/>
      <c r="AKO248" s="22"/>
      <c r="AKP248" s="22"/>
      <c r="AKQ248" s="22"/>
      <c r="AKR248" s="22"/>
      <c r="AKS248" s="22"/>
      <c r="AKT248" s="22"/>
      <c r="AKU248" s="22"/>
      <c r="AKV248" s="22"/>
      <c r="AKW248" s="22"/>
      <c r="AKX248" s="22"/>
      <c r="AKY248" s="22"/>
      <c r="AKZ248" s="22"/>
      <c r="ALA248" s="22"/>
      <c r="ALB248" s="22"/>
      <c r="ALC248" s="22"/>
      <c r="ALD248" s="22"/>
      <c r="ALE248" s="22"/>
      <c r="ALF248" s="22"/>
      <c r="ALG248" s="22"/>
      <c r="ALH248" s="22"/>
      <c r="ALI248" s="22"/>
      <c r="ALJ248" s="22"/>
      <c r="ALK248" s="22"/>
      <c r="ALL248" s="22"/>
      <c r="ALM248" s="22"/>
      <c r="ALN248" s="22"/>
      <c r="ALO248" s="22"/>
      <c r="ALP248" s="22"/>
      <c r="ALQ248" s="22"/>
      <c r="ALR248" s="22"/>
      <c r="ALS248" s="22"/>
      <c r="ALT248" s="22"/>
      <c r="ALU248" s="22"/>
      <c r="ALV248" s="22"/>
      <c r="ALW248" s="22"/>
      <c r="ALX248" s="22"/>
      <c r="ALY248" s="22"/>
      <c r="ALZ248" s="22"/>
      <c r="AMA248" s="22"/>
      <c r="AMB248" s="22"/>
      <c r="AMC248" s="22"/>
      <c r="AMD248" s="22"/>
      <c r="AME248" s="22"/>
      <c r="AMF248" s="22"/>
      <c r="AMG248" s="22"/>
      <c r="AMH248" s="22"/>
      <c r="AMI248" s="22"/>
      <c r="AMJ248" s="22"/>
      <c r="AMK248" s="22"/>
      <c r="AML248" s="22"/>
      <c r="AMM248" s="22"/>
      <c r="AMN248" s="22"/>
      <c r="AMO248" s="22"/>
      <c r="AMP248" s="22"/>
      <c r="AMQ248" s="22"/>
      <c r="AMR248" s="22"/>
      <c r="AMS248" s="22"/>
      <c r="AMT248" s="22"/>
      <c r="AMU248" s="22"/>
      <c r="AMV248" s="22"/>
      <c r="AMW248" s="22"/>
      <c r="AMX248" s="22"/>
      <c r="AMY248" s="22"/>
      <c r="AMZ248" s="22"/>
      <c r="ANA248" s="22"/>
      <c r="ANB248" s="22"/>
      <c r="ANC248" s="22"/>
      <c r="AND248" s="22"/>
      <c r="ANE248" s="22"/>
      <c r="ANF248" s="22"/>
      <c r="ANG248" s="22"/>
      <c r="ANH248" s="22"/>
      <c r="ANI248" s="22"/>
      <c r="ANJ248" s="22"/>
      <c r="ANK248" s="22"/>
      <c r="ANL248" s="22"/>
      <c r="ANM248" s="22"/>
      <c r="ANN248" s="22"/>
      <c r="ANO248" s="22"/>
      <c r="ANP248" s="22"/>
      <c r="ANQ248" s="22"/>
      <c r="ANR248" s="22"/>
      <c r="ANS248" s="22"/>
      <c r="ANT248" s="22"/>
      <c r="ANU248" s="22"/>
      <c r="ANV248" s="22"/>
      <c r="ANW248" s="22"/>
      <c r="ANX248" s="22"/>
      <c r="ANY248" s="22"/>
      <c r="ANZ248" s="22"/>
      <c r="AOA248" s="22"/>
      <c r="AOB248" s="22"/>
      <c r="AOC248" s="22"/>
      <c r="AOD248" s="22"/>
      <c r="AOE248" s="22"/>
      <c r="AOF248" s="22"/>
      <c r="AOG248" s="22"/>
      <c r="AOH248" s="22"/>
      <c r="AOI248" s="22"/>
      <c r="AOJ248" s="22"/>
      <c r="AOK248" s="22"/>
      <c r="AOL248" s="22"/>
      <c r="AOM248" s="22"/>
      <c r="AON248" s="22"/>
      <c r="AOO248" s="22"/>
      <c r="AOP248" s="22"/>
      <c r="AOQ248" s="22"/>
      <c r="AOR248" s="22"/>
      <c r="AOS248" s="22"/>
      <c r="AOT248" s="22"/>
      <c r="AOU248" s="22"/>
      <c r="AOV248" s="22"/>
      <c r="AOW248" s="22"/>
      <c r="AOX248" s="22"/>
      <c r="AOY248" s="22"/>
      <c r="AOZ248" s="22"/>
      <c r="APA248" s="22"/>
      <c r="APB248" s="22"/>
      <c r="APC248" s="22"/>
      <c r="APD248" s="22"/>
      <c r="APE248" s="22"/>
      <c r="APF248" s="22"/>
      <c r="APG248" s="22"/>
      <c r="APH248" s="22"/>
      <c r="API248" s="22"/>
      <c r="APJ248" s="22"/>
      <c r="APK248" s="22"/>
      <c r="APL248" s="22"/>
      <c r="APM248" s="22"/>
      <c r="APN248" s="22"/>
      <c r="APO248" s="22"/>
      <c r="APP248" s="22"/>
      <c r="APQ248" s="22"/>
      <c r="APR248" s="22"/>
      <c r="APS248" s="22"/>
      <c r="APT248" s="22"/>
      <c r="APU248" s="22"/>
      <c r="APV248" s="22"/>
      <c r="APW248" s="22"/>
      <c r="APX248" s="22"/>
      <c r="APY248" s="22"/>
      <c r="APZ248" s="22"/>
      <c r="AQA248" s="22"/>
      <c r="AQB248" s="22"/>
      <c r="AQC248" s="22"/>
      <c r="AQD248" s="22"/>
      <c r="AQE248" s="22"/>
      <c r="AQF248" s="22"/>
      <c r="AQG248" s="22"/>
      <c r="AQH248" s="22"/>
      <c r="AQI248" s="22"/>
      <c r="AQJ248" s="22"/>
      <c r="AQK248" s="22"/>
      <c r="AQL248" s="22"/>
      <c r="AQM248" s="22"/>
      <c r="AQN248" s="22"/>
      <c r="AQO248" s="22"/>
      <c r="AQP248" s="22"/>
      <c r="AQQ248" s="22"/>
      <c r="AQR248" s="22"/>
      <c r="AQS248" s="22"/>
      <c r="AQT248" s="22"/>
      <c r="AQU248" s="22"/>
      <c r="AQV248" s="22"/>
      <c r="AQW248" s="22"/>
      <c r="AQX248" s="22"/>
      <c r="AQY248" s="22"/>
      <c r="AQZ248" s="22"/>
      <c r="ARA248" s="22"/>
      <c r="ARB248" s="22"/>
      <c r="ARC248" s="22"/>
      <c r="ARD248" s="22"/>
      <c r="ARE248" s="22"/>
      <c r="ARF248" s="22"/>
      <c r="ARG248" s="22"/>
      <c r="ARH248" s="22"/>
      <c r="ARI248" s="22"/>
      <c r="ARJ248" s="22"/>
      <c r="ARK248" s="22"/>
      <c r="ARL248" s="22"/>
      <c r="ARM248" s="22"/>
      <c r="ARN248" s="22"/>
      <c r="ARO248" s="22"/>
      <c r="ARP248" s="22"/>
      <c r="ARQ248" s="22"/>
      <c r="ARR248" s="22"/>
      <c r="ARS248" s="22"/>
      <c r="ART248" s="22"/>
      <c r="ARU248" s="22"/>
      <c r="ARV248" s="22"/>
      <c r="ARW248" s="22"/>
      <c r="ARX248" s="22"/>
      <c r="ARY248" s="22"/>
      <c r="ARZ248" s="22"/>
      <c r="ASA248" s="22"/>
      <c r="ASB248" s="22"/>
      <c r="ASC248" s="22"/>
      <c r="ASD248" s="22"/>
      <c r="ASE248" s="22"/>
      <c r="ASF248" s="22"/>
      <c r="ASG248" s="22"/>
      <c r="ASH248" s="22"/>
      <c r="ASI248" s="22"/>
      <c r="ASJ248" s="22"/>
      <c r="ASK248" s="22"/>
      <c r="ASL248" s="22"/>
      <c r="ASM248" s="22"/>
      <c r="ASN248" s="22"/>
      <c r="ASO248" s="22"/>
      <c r="ASP248" s="22"/>
      <c r="ASQ248" s="22"/>
      <c r="ASR248" s="22"/>
      <c r="ASS248" s="22"/>
      <c r="AST248" s="22"/>
      <c r="ASU248" s="22"/>
      <c r="ASV248" s="22"/>
      <c r="ASW248" s="22"/>
      <c r="ASX248" s="22"/>
      <c r="ASY248" s="22"/>
      <c r="ASZ248" s="22"/>
      <c r="ATA248" s="22"/>
      <c r="ATB248" s="22"/>
      <c r="ATC248" s="22"/>
      <c r="ATD248" s="22"/>
      <c r="ATE248" s="22"/>
      <c r="ATF248" s="22"/>
      <c r="ATG248" s="22"/>
      <c r="ATH248" s="22"/>
      <c r="ATI248" s="22"/>
      <c r="ATJ248" s="22"/>
      <c r="ATK248" s="22"/>
      <c r="ATL248" s="22"/>
      <c r="ATM248" s="22"/>
      <c r="ATN248" s="22"/>
      <c r="ATO248" s="22"/>
      <c r="ATP248" s="22"/>
      <c r="ATQ248" s="22"/>
      <c r="ATR248" s="22"/>
      <c r="ATS248" s="22"/>
      <c r="ATT248" s="22"/>
      <c r="ATU248" s="22"/>
      <c r="ATV248" s="22"/>
      <c r="ATW248" s="22"/>
      <c r="ATX248" s="22"/>
      <c r="ATY248" s="22"/>
      <c r="ATZ248" s="22"/>
      <c r="AUA248" s="22"/>
      <c r="AUB248" s="22"/>
      <c r="AUC248" s="22"/>
      <c r="AUD248" s="22"/>
      <c r="AUE248" s="22"/>
      <c r="AUF248" s="22"/>
      <c r="AUG248" s="22"/>
      <c r="AUH248" s="22"/>
      <c r="AUI248" s="22"/>
      <c r="AUJ248" s="22"/>
      <c r="AUK248" s="22"/>
      <c r="AUL248" s="22"/>
      <c r="AUM248" s="22"/>
      <c r="AUN248" s="22"/>
      <c r="AUO248" s="22"/>
      <c r="AUP248" s="22"/>
      <c r="AUQ248" s="22"/>
      <c r="AUR248" s="22"/>
      <c r="AUS248" s="22"/>
      <c r="AUT248" s="22"/>
      <c r="AUU248" s="22"/>
      <c r="AUV248" s="22"/>
      <c r="AUW248" s="22"/>
      <c r="AUX248" s="22"/>
      <c r="AUY248" s="22"/>
      <c r="AUZ248" s="22"/>
      <c r="AVA248" s="22"/>
      <c r="AVB248" s="22"/>
      <c r="AVC248" s="22"/>
      <c r="AVD248" s="22"/>
      <c r="AVE248" s="22"/>
      <c r="AVF248" s="22"/>
      <c r="AVG248" s="22"/>
      <c r="AVH248" s="22"/>
      <c r="AVI248" s="22"/>
      <c r="AVJ248" s="22"/>
      <c r="AVK248" s="22"/>
      <c r="AVL248" s="22"/>
      <c r="AVM248" s="22"/>
      <c r="AVN248" s="22"/>
      <c r="AVO248" s="22"/>
      <c r="AVP248" s="22"/>
      <c r="AVQ248" s="22"/>
      <c r="AVR248" s="22"/>
      <c r="AVS248" s="22"/>
      <c r="AVT248" s="22"/>
      <c r="AVU248" s="22"/>
      <c r="AVV248" s="22"/>
      <c r="AVW248" s="22"/>
      <c r="AVX248" s="22"/>
      <c r="AVY248" s="22"/>
      <c r="AVZ248" s="22"/>
      <c r="AWA248" s="22"/>
      <c r="AWB248" s="22"/>
      <c r="AWC248" s="22"/>
      <c r="AWD248" s="22"/>
      <c r="AWE248" s="22"/>
      <c r="AWF248" s="22"/>
      <c r="AWG248" s="22"/>
      <c r="AWH248" s="22"/>
      <c r="AWI248" s="22"/>
      <c r="AWJ248" s="22"/>
      <c r="AWK248" s="22"/>
      <c r="AWL248" s="22"/>
      <c r="AWM248" s="22"/>
      <c r="AWN248" s="22"/>
      <c r="AWO248" s="22"/>
      <c r="AWP248" s="22"/>
      <c r="AWQ248" s="22"/>
      <c r="AWR248" s="22"/>
      <c r="AWS248" s="22"/>
      <c r="AWT248" s="22"/>
      <c r="AWU248" s="22"/>
      <c r="AWV248" s="22"/>
      <c r="AWW248" s="22"/>
      <c r="AWX248" s="22"/>
      <c r="AWY248" s="22"/>
      <c r="AWZ248" s="22"/>
      <c r="AXA248" s="22"/>
      <c r="AXB248" s="22"/>
      <c r="AXC248" s="22"/>
      <c r="AXD248" s="22"/>
      <c r="AXE248" s="22"/>
      <c r="AXF248" s="22"/>
      <c r="AXG248" s="22"/>
      <c r="AXH248" s="22"/>
      <c r="AXI248" s="22"/>
      <c r="AXJ248" s="22"/>
      <c r="AXK248" s="22"/>
      <c r="AXL248" s="22"/>
      <c r="AXM248" s="22"/>
      <c r="AXN248" s="22"/>
      <c r="AXO248" s="22"/>
      <c r="AXP248" s="22"/>
      <c r="AXQ248" s="22"/>
      <c r="AXR248" s="22"/>
      <c r="AXS248" s="22"/>
      <c r="AXT248" s="22"/>
      <c r="AXU248" s="22"/>
      <c r="AXV248" s="22"/>
      <c r="AXW248" s="22"/>
      <c r="AXX248" s="22"/>
      <c r="AXY248" s="22"/>
      <c r="AXZ248" s="22"/>
      <c r="AYA248" s="22"/>
      <c r="AYB248" s="22"/>
      <c r="AYC248" s="22"/>
      <c r="AYD248" s="22"/>
      <c r="AYE248" s="22"/>
      <c r="AYF248" s="22"/>
      <c r="AYG248" s="22"/>
      <c r="AYH248" s="22"/>
      <c r="AYI248" s="22"/>
      <c r="AYJ248" s="22"/>
      <c r="AYK248" s="22"/>
      <c r="AYL248" s="22"/>
      <c r="AYM248" s="22"/>
      <c r="AYN248" s="22"/>
      <c r="AYO248" s="22"/>
      <c r="AYP248" s="22"/>
      <c r="AYQ248" s="22"/>
      <c r="AYR248" s="22"/>
      <c r="AYS248" s="22"/>
      <c r="AYT248" s="22"/>
      <c r="AYU248" s="22"/>
      <c r="AYV248" s="22"/>
      <c r="AYW248" s="22"/>
      <c r="AYX248" s="22"/>
      <c r="AYY248" s="22"/>
      <c r="AYZ248" s="22"/>
      <c r="AZA248" s="22"/>
      <c r="AZB248" s="22"/>
      <c r="AZC248" s="22"/>
      <c r="AZD248" s="22"/>
      <c r="AZE248" s="22"/>
      <c r="AZF248" s="22"/>
      <c r="AZG248" s="22"/>
      <c r="AZH248" s="22"/>
      <c r="AZI248" s="22"/>
      <c r="AZJ248" s="22"/>
      <c r="AZK248" s="22"/>
      <c r="AZL248" s="22"/>
      <c r="AZM248" s="22"/>
      <c r="AZN248" s="22"/>
      <c r="AZO248" s="22"/>
      <c r="AZP248" s="22"/>
      <c r="AZQ248" s="22"/>
      <c r="AZR248" s="22"/>
      <c r="AZS248" s="22"/>
      <c r="AZT248" s="22"/>
      <c r="AZU248" s="22"/>
      <c r="AZV248" s="22"/>
      <c r="AZW248" s="22"/>
      <c r="AZX248" s="22"/>
      <c r="AZY248" s="22"/>
      <c r="AZZ248" s="22"/>
      <c r="BAA248" s="22"/>
      <c r="BAB248" s="22"/>
      <c r="BAC248" s="22"/>
      <c r="BAD248" s="22"/>
      <c r="BAE248" s="22"/>
      <c r="BAF248" s="22"/>
      <c r="BAG248" s="22"/>
      <c r="BAH248" s="22"/>
      <c r="BAI248" s="22"/>
      <c r="BAJ248" s="22"/>
      <c r="BAK248" s="22"/>
      <c r="BAL248" s="22"/>
      <c r="BAM248" s="22"/>
      <c r="BAN248" s="22"/>
      <c r="BAO248" s="22"/>
      <c r="BAP248" s="22"/>
      <c r="BAQ248" s="22"/>
      <c r="BAR248" s="22"/>
      <c r="BAS248" s="22"/>
      <c r="BAT248" s="22"/>
      <c r="BAU248" s="22"/>
      <c r="BAV248" s="22"/>
      <c r="BAW248" s="22"/>
      <c r="BAX248" s="22"/>
      <c r="BAY248" s="22"/>
      <c r="BAZ248" s="22"/>
      <c r="BBA248" s="22"/>
      <c r="BBB248" s="22"/>
      <c r="BBC248" s="22"/>
      <c r="BBD248" s="22"/>
      <c r="BBE248" s="22"/>
      <c r="BBF248" s="22"/>
      <c r="BBG248" s="22"/>
      <c r="BBH248" s="22"/>
      <c r="BBI248" s="22"/>
      <c r="BBJ248" s="22"/>
      <c r="BBK248" s="22"/>
      <c r="BBL248" s="22"/>
      <c r="BBM248" s="22"/>
      <c r="BBN248" s="22"/>
      <c r="BBO248" s="22"/>
      <c r="BBP248" s="22"/>
      <c r="BBQ248" s="22"/>
      <c r="BBR248" s="22"/>
      <c r="BBS248" s="22"/>
      <c r="BBT248" s="22"/>
      <c r="BBU248" s="22"/>
      <c r="BBV248" s="22"/>
      <c r="BBW248" s="22"/>
      <c r="BBX248" s="22"/>
      <c r="BBY248" s="22"/>
      <c r="BBZ248" s="22"/>
      <c r="BCA248" s="22"/>
      <c r="BCB248" s="22"/>
      <c r="BCC248" s="22"/>
      <c r="BCD248" s="22"/>
      <c r="BCE248" s="22"/>
      <c r="BCF248" s="22"/>
      <c r="BCG248" s="22"/>
      <c r="BCH248" s="22"/>
      <c r="BCI248" s="22"/>
      <c r="BCJ248" s="22"/>
      <c r="BCK248" s="22"/>
      <c r="BCL248" s="22"/>
      <c r="BCM248" s="22"/>
      <c r="BCN248" s="22"/>
      <c r="BCO248" s="22"/>
      <c r="BCP248" s="22"/>
      <c r="BCQ248" s="22"/>
      <c r="BCR248" s="22"/>
      <c r="BCS248" s="22"/>
      <c r="BCT248" s="22"/>
      <c r="BCU248" s="22"/>
      <c r="BCV248" s="22"/>
      <c r="BCW248" s="22"/>
      <c r="BCX248" s="22"/>
      <c r="BCY248" s="22"/>
      <c r="BCZ248" s="22"/>
      <c r="BDA248" s="22"/>
      <c r="BDB248" s="22"/>
      <c r="BDC248" s="22"/>
      <c r="BDD248" s="22"/>
      <c r="BDE248" s="22"/>
      <c r="BDF248" s="22"/>
      <c r="BDG248" s="22"/>
      <c r="BDH248" s="22"/>
      <c r="BDI248" s="22"/>
      <c r="BDJ248" s="22"/>
      <c r="BDK248" s="22"/>
      <c r="BDL248" s="22"/>
      <c r="BDM248" s="22"/>
      <c r="BDN248" s="22"/>
      <c r="BDO248" s="22"/>
      <c r="BDP248" s="22"/>
      <c r="BDQ248" s="22"/>
      <c r="BDR248" s="22"/>
      <c r="BDS248" s="22"/>
      <c r="BDT248" s="22"/>
      <c r="BDU248" s="22"/>
      <c r="BDV248" s="22"/>
      <c r="BDW248" s="22"/>
      <c r="BDX248" s="22"/>
      <c r="BDY248" s="22"/>
      <c r="BDZ248" s="22"/>
      <c r="BEA248" s="22"/>
      <c r="BEB248" s="22"/>
      <c r="BEC248" s="22"/>
      <c r="BED248" s="22"/>
      <c r="BEE248" s="22"/>
      <c r="BEF248" s="22"/>
      <c r="BEG248" s="22"/>
      <c r="BEH248" s="22"/>
      <c r="BEI248" s="22"/>
      <c r="BEJ248" s="22"/>
      <c r="BEK248" s="22"/>
      <c r="BEL248" s="22"/>
      <c r="BEM248" s="22"/>
      <c r="BEN248" s="22"/>
      <c r="BEO248" s="22"/>
      <c r="BEP248" s="22"/>
      <c r="BEQ248" s="22"/>
      <c r="BER248" s="22"/>
      <c r="BES248" s="22"/>
      <c r="BET248" s="22"/>
      <c r="BEU248" s="22"/>
      <c r="BEV248" s="22"/>
      <c r="BEW248" s="22"/>
      <c r="BEX248" s="22"/>
      <c r="BEY248" s="22"/>
      <c r="BEZ248" s="22"/>
      <c r="BFA248" s="22"/>
      <c r="BFB248" s="22"/>
      <c r="BFC248" s="22"/>
      <c r="BFD248" s="22"/>
      <c r="BFE248" s="22"/>
      <c r="BFF248" s="22"/>
      <c r="BFG248" s="22"/>
      <c r="BFH248" s="22"/>
      <c r="BFI248" s="22"/>
      <c r="BFJ248" s="22"/>
      <c r="BFK248" s="22"/>
      <c r="BFL248" s="22"/>
      <c r="BFM248" s="22"/>
      <c r="BFN248" s="22"/>
      <c r="BFO248" s="22"/>
      <c r="BFP248" s="22"/>
      <c r="BFQ248" s="22"/>
      <c r="BFR248" s="22"/>
      <c r="BFS248" s="22"/>
      <c r="BFT248" s="22"/>
      <c r="BFU248" s="22"/>
      <c r="BFV248" s="22"/>
      <c r="BFW248" s="22"/>
      <c r="BFX248" s="22"/>
      <c r="BFY248" s="22"/>
      <c r="BFZ248" s="22"/>
      <c r="BGA248" s="22"/>
      <c r="BGB248" s="22"/>
      <c r="BGC248" s="22"/>
      <c r="BGD248" s="22"/>
      <c r="BGE248" s="22"/>
      <c r="BGF248" s="22"/>
      <c r="BGG248" s="22"/>
      <c r="BGH248" s="22"/>
      <c r="BGI248" s="22"/>
      <c r="BGJ248" s="22"/>
      <c r="BGK248" s="22"/>
      <c r="BGL248" s="22"/>
      <c r="BGM248" s="22"/>
      <c r="BGN248" s="22"/>
      <c r="BGO248" s="22"/>
      <c r="BGP248" s="22"/>
      <c r="BGQ248" s="22"/>
      <c r="BGR248" s="22"/>
      <c r="BGS248" s="22"/>
      <c r="BGT248" s="22"/>
      <c r="BGU248" s="22"/>
      <c r="BGV248" s="22"/>
      <c r="BGW248" s="22"/>
      <c r="BGX248" s="22"/>
      <c r="BGY248" s="22"/>
      <c r="BGZ248" s="22"/>
      <c r="BHA248" s="22"/>
      <c r="BHB248" s="22"/>
      <c r="BHC248" s="22"/>
      <c r="BHD248" s="22"/>
      <c r="BHE248" s="22"/>
      <c r="BHF248" s="22"/>
      <c r="BHG248" s="22"/>
      <c r="BHH248" s="22"/>
      <c r="BHI248" s="22"/>
      <c r="BHJ248" s="22"/>
      <c r="BHK248" s="22"/>
      <c r="BHL248" s="22"/>
      <c r="BHM248" s="22"/>
      <c r="BHN248" s="22"/>
      <c r="BHO248" s="22"/>
      <c r="BHP248" s="22"/>
      <c r="BHQ248" s="22"/>
      <c r="BHR248" s="22"/>
      <c r="BHS248" s="22"/>
      <c r="BHT248" s="22"/>
      <c r="BHU248" s="22"/>
      <c r="BHV248" s="22"/>
      <c r="BHW248" s="22"/>
      <c r="BHX248" s="22"/>
      <c r="BHY248" s="22"/>
      <c r="BHZ248" s="22"/>
      <c r="BIA248" s="22"/>
      <c r="BIB248" s="22"/>
      <c r="BIC248" s="22"/>
      <c r="BID248" s="22"/>
      <c r="BIE248" s="22"/>
      <c r="BIF248" s="22"/>
      <c r="BIG248" s="22"/>
      <c r="BIH248" s="22"/>
      <c r="BII248" s="22"/>
      <c r="BIJ248" s="22"/>
      <c r="BIK248" s="22"/>
      <c r="BIL248" s="22"/>
      <c r="BIM248" s="22"/>
      <c r="BIN248" s="22"/>
      <c r="BIO248" s="22"/>
      <c r="BIP248" s="22"/>
      <c r="BIQ248" s="22"/>
      <c r="BIR248" s="22"/>
      <c r="BIS248" s="22"/>
      <c r="BIT248" s="22"/>
      <c r="BIU248" s="22"/>
      <c r="BIV248" s="22"/>
      <c r="BIW248" s="22"/>
      <c r="BIX248" s="22"/>
      <c r="BIY248" s="22"/>
      <c r="BIZ248" s="22"/>
      <c r="BJA248" s="22"/>
      <c r="BJB248" s="22"/>
      <c r="BJC248" s="22"/>
      <c r="BJD248" s="22"/>
      <c r="BJE248" s="22"/>
      <c r="BJF248" s="22"/>
      <c r="BJG248" s="22"/>
      <c r="BJH248" s="22"/>
      <c r="BJI248" s="22"/>
      <c r="BJJ248" s="22"/>
      <c r="BJK248" s="22"/>
      <c r="BJL248" s="22"/>
      <c r="BJM248" s="22"/>
      <c r="BJN248" s="22"/>
      <c r="BJO248" s="22"/>
      <c r="BJP248" s="22"/>
      <c r="BJQ248" s="22"/>
      <c r="BJR248" s="22"/>
      <c r="BJS248" s="22"/>
      <c r="BJT248" s="22"/>
      <c r="BJU248" s="22"/>
      <c r="BJV248" s="22"/>
      <c r="BJW248" s="22"/>
      <c r="BJX248" s="22"/>
      <c r="BJY248" s="22"/>
      <c r="BJZ248" s="22"/>
      <c r="BKA248" s="22"/>
      <c r="BKB248" s="22"/>
      <c r="BKC248" s="22"/>
      <c r="BKD248" s="22"/>
      <c r="BKE248" s="22"/>
      <c r="BKF248" s="22"/>
      <c r="BKG248" s="22"/>
      <c r="BKH248" s="22"/>
      <c r="BKI248" s="22"/>
      <c r="BKJ248" s="22"/>
      <c r="BKK248" s="22"/>
      <c r="BKL248" s="22"/>
      <c r="BKM248" s="22"/>
      <c r="BKN248" s="22"/>
      <c r="BKO248" s="22"/>
      <c r="BKP248" s="22"/>
      <c r="BKQ248" s="22"/>
      <c r="BKR248" s="22"/>
      <c r="BKS248" s="22"/>
      <c r="BKT248" s="22"/>
      <c r="BKU248" s="22"/>
      <c r="BKV248" s="22"/>
      <c r="BKW248" s="22"/>
      <c r="BKX248" s="22"/>
      <c r="BKY248" s="22"/>
      <c r="BKZ248" s="22"/>
      <c r="BLA248" s="22"/>
      <c r="BLB248" s="22"/>
      <c r="BLC248" s="22"/>
      <c r="BLD248" s="22"/>
      <c r="BLE248" s="22"/>
      <c r="BLF248" s="22"/>
      <c r="BLG248" s="22"/>
      <c r="BLH248" s="22"/>
      <c r="BLI248" s="22"/>
      <c r="BLJ248" s="22"/>
      <c r="BLK248" s="22"/>
      <c r="BLL248" s="22"/>
      <c r="BLM248" s="22"/>
      <c r="BLN248" s="22"/>
      <c r="BLO248" s="22"/>
      <c r="BLP248" s="22"/>
      <c r="BLQ248" s="22"/>
      <c r="BLR248" s="22"/>
      <c r="BLS248" s="22"/>
      <c r="BLT248" s="22"/>
      <c r="BLU248" s="22"/>
      <c r="BLV248" s="22"/>
      <c r="BLW248" s="22"/>
      <c r="BLX248" s="22"/>
      <c r="BLY248" s="22"/>
      <c r="BLZ248" s="22"/>
      <c r="BMA248" s="22"/>
      <c r="BMB248" s="22"/>
      <c r="BMC248" s="22"/>
      <c r="BMD248" s="22"/>
      <c r="BME248" s="22"/>
      <c r="BMF248" s="22"/>
      <c r="BMG248" s="22"/>
      <c r="BMH248" s="22"/>
      <c r="BMI248" s="22"/>
      <c r="BMJ248" s="22"/>
      <c r="BMK248" s="22"/>
      <c r="BML248" s="22"/>
      <c r="BMM248" s="22"/>
      <c r="BMN248" s="22"/>
      <c r="BMO248" s="22"/>
      <c r="BMP248" s="22"/>
      <c r="BMQ248" s="22"/>
      <c r="BMR248" s="22"/>
      <c r="BMS248" s="22"/>
      <c r="BMT248" s="22"/>
      <c r="BMU248" s="22"/>
      <c r="BMV248" s="22"/>
      <c r="BMW248" s="22"/>
      <c r="BMX248" s="22"/>
      <c r="BMY248" s="22"/>
      <c r="BMZ248" s="22"/>
      <c r="BNA248" s="22"/>
      <c r="BNB248" s="22"/>
      <c r="BNC248" s="22"/>
      <c r="BND248" s="22"/>
      <c r="BNE248" s="22"/>
      <c r="BNF248" s="22"/>
      <c r="BNG248" s="22"/>
      <c r="BNH248" s="22"/>
      <c r="BNI248" s="22"/>
      <c r="BNJ248" s="22"/>
      <c r="BNK248" s="22"/>
      <c r="BNL248" s="22"/>
      <c r="BNM248" s="22"/>
      <c r="BNN248" s="22"/>
      <c r="BNO248" s="22"/>
      <c r="BNP248" s="22"/>
      <c r="BNQ248" s="22"/>
      <c r="BNR248" s="22"/>
      <c r="BNS248" s="22"/>
      <c r="BNT248" s="22"/>
      <c r="BNU248" s="22"/>
      <c r="BNV248" s="22"/>
      <c r="BNW248" s="22"/>
      <c r="BNX248" s="22"/>
      <c r="BNY248" s="22"/>
      <c r="BNZ248" s="22"/>
      <c r="BOA248" s="22"/>
      <c r="BOB248" s="22"/>
      <c r="BOC248" s="22"/>
      <c r="BOD248" s="22"/>
      <c r="BOE248" s="22"/>
      <c r="BOF248" s="22"/>
      <c r="BOG248" s="22"/>
      <c r="BOH248" s="22"/>
      <c r="BOI248" s="22"/>
      <c r="BOJ248" s="22"/>
      <c r="BOK248" s="22"/>
      <c r="BOL248" s="22"/>
      <c r="BOM248" s="22"/>
      <c r="BON248" s="22"/>
      <c r="BOO248" s="22"/>
      <c r="BOP248" s="22"/>
      <c r="BOQ248" s="22"/>
      <c r="BOR248" s="22"/>
      <c r="BOS248" s="22"/>
      <c r="BOT248" s="22"/>
      <c r="BOU248" s="22"/>
      <c r="BOV248" s="22"/>
      <c r="BOW248" s="22"/>
      <c r="BOX248" s="22"/>
      <c r="BOY248" s="22"/>
      <c r="BOZ248" s="22"/>
      <c r="BPA248" s="22"/>
      <c r="BPB248" s="22"/>
      <c r="BPC248" s="22"/>
      <c r="BPD248" s="22"/>
      <c r="BPE248" s="22"/>
      <c r="BPF248" s="22"/>
      <c r="BPG248" s="22"/>
      <c r="BPH248" s="22"/>
      <c r="BPI248" s="22"/>
      <c r="BPJ248" s="22"/>
      <c r="BPK248" s="22"/>
      <c r="BPL248" s="22"/>
      <c r="BPM248" s="22"/>
      <c r="BPN248" s="22"/>
      <c r="BPO248" s="22"/>
      <c r="BPP248" s="22"/>
      <c r="BPQ248" s="22"/>
      <c r="BPR248" s="22"/>
      <c r="BPS248" s="22"/>
      <c r="BPT248" s="22"/>
      <c r="BPU248" s="22"/>
      <c r="BPV248" s="22"/>
      <c r="BPW248" s="22"/>
      <c r="BPX248" s="22"/>
      <c r="BPY248" s="22"/>
      <c r="BPZ248" s="22"/>
      <c r="BQA248" s="22"/>
      <c r="BQB248" s="22"/>
      <c r="BQC248" s="22"/>
      <c r="BQD248" s="22"/>
      <c r="BQE248" s="22"/>
      <c r="BQF248" s="22"/>
      <c r="BQG248" s="22"/>
      <c r="BQH248" s="22"/>
      <c r="BQI248" s="22"/>
      <c r="BQJ248" s="22"/>
      <c r="BQK248" s="22"/>
      <c r="BQL248" s="22"/>
      <c r="BQM248" s="22"/>
      <c r="BQN248" s="22"/>
      <c r="BQO248" s="22"/>
      <c r="BQP248" s="22"/>
      <c r="BQQ248" s="22"/>
      <c r="BQR248" s="22"/>
      <c r="BQS248" s="22"/>
      <c r="BQT248" s="22"/>
      <c r="BQU248" s="22"/>
      <c r="BQV248" s="22"/>
      <c r="BQW248" s="22"/>
      <c r="BQX248" s="22"/>
      <c r="BQY248" s="22"/>
      <c r="BQZ248" s="22"/>
      <c r="BRA248" s="22"/>
      <c r="BRB248" s="22"/>
      <c r="BRC248" s="22"/>
      <c r="BRD248" s="22"/>
      <c r="BRE248" s="22"/>
      <c r="BRF248" s="22"/>
      <c r="BRG248" s="22"/>
      <c r="BRH248" s="22"/>
      <c r="BRI248" s="22"/>
      <c r="BRJ248" s="22"/>
      <c r="BRK248" s="22"/>
      <c r="BRL248" s="22"/>
      <c r="BRM248" s="22"/>
      <c r="BRN248" s="22"/>
      <c r="BRO248" s="22"/>
      <c r="BRP248" s="22"/>
      <c r="BRQ248" s="22"/>
      <c r="BRR248" s="22"/>
      <c r="BRS248" s="22"/>
      <c r="BRT248" s="22"/>
      <c r="BRU248" s="22"/>
      <c r="BRV248" s="22"/>
      <c r="BRW248" s="22"/>
      <c r="BRX248" s="22"/>
      <c r="BRY248" s="22"/>
      <c r="BRZ248" s="22"/>
      <c r="BSA248" s="22"/>
      <c r="BSB248" s="22"/>
      <c r="BSC248" s="22"/>
      <c r="BSD248" s="22"/>
      <c r="BSE248" s="22"/>
      <c r="BSF248" s="22"/>
      <c r="BSG248" s="22"/>
      <c r="BSH248" s="22"/>
      <c r="BSI248" s="22"/>
      <c r="BSJ248" s="22"/>
      <c r="BSK248" s="22"/>
      <c r="BSL248" s="22"/>
      <c r="BSM248" s="22"/>
      <c r="BSN248" s="22"/>
      <c r="BSO248" s="22"/>
      <c r="BSP248" s="22"/>
      <c r="BSQ248" s="22"/>
      <c r="BSR248" s="22"/>
      <c r="BSS248" s="22"/>
      <c r="BST248" s="22"/>
      <c r="BSU248" s="22"/>
      <c r="BSV248" s="22"/>
      <c r="BSW248" s="22"/>
      <c r="BSX248" s="22"/>
      <c r="BSY248" s="22"/>
      <c r="BSZ248" s="22"/>
      <c r="BTA248" s="22"/>
      <c r="BTB248" s="22"/>
      <c r="BTC248" s="22"/>
      <c r="BTD248" s="22"/>
      <c r="BTE248" s="22"/>
      <c r="BTF248" s="22"/>
      <c r="BTG248" s="22"/>
      <c r="BTH248" s="22"/>
      <c r="BTI248" s="22"/>
      <c r="BTJ248" s="22"/>
      <c r="BTK248" s="22"/>
      <c r="BTL248" s="22"/>
      <c r="BTM248" s="22"/>
      <c r="BTN248" s="22"/>
      <c r="BTO248" s="22"/>
      <c r="BTP248" s="22"/>
      <c r="BTQ248" s="22"/>
      <c r="BTR248" s="22"/>
      <c r="BTS248" s="22"/>
      <c r="BTT248" s="22"/>
      <c r="BTU248" s="22"/>
      <c r="BTV248" s="22"/>
      <c r="BTW248" s="22"/>
      <c r="BTX248" s="22"/>
      <c r="BTY248" s="22"/>
      <c r="BTZ248" s="22"/>
      <c r="BUA248" s="22"/>
      <c r="BUB248" s="22"/>
      <c r="BUC248" s="22"/>
      <c r="BUD248" s="22"/>
      <c r="BUE248" s="22"/>
      <c r="BUF248" s="22"/>
      <c r="BUG248" s="22"/>
      <c r="BUH248" s="22"/>
      <c r="BUI248" s="22"/>
      <c r="BUJ248" s="22"/>
      <c r="BUK248" s="22"/>
      <c r="BUL248" s="22"/>
      <c r="BUM248" s="22"/>
      <c r="BUN248" s="22"/>
      <c r="BUO248" s="22"/>
      <c r="BUP248" s="22"/>
      <c r="BUQ248" s="22"/>
      <c r="BUR248" s="22"/>
      <c r="BUS248" s="22"/>
      <c r="BUT248" s="22"/>
      <c r="BUU248" s="22"/>
      <c r="BUV248" s="22"/>
      <c r="BUW248" s="22"/>
      <c r="BUX248" s="22"/>
      <c r="BUY248" s="22"/>
      <c r="BUZ248" s="22"/>
      <c r="BVA248" s="22"/>
      <c r="BVB248" s="22"/>
      <c r="BVC248" s="22"/>
      <c r="BVD248" s="22"/>
      <c r="BVE248" s="22"/>
      <c r="BVF248" s="22"/>
      <c r="BVG248" s="22"/>
      <c r="BVH248" s="22"/>
      <c r="BVI248" s="22"/>
      <c r="BVJ248" s="22"/>
      <c r="BVK248" s="22"/>
      <c r="BVL248" s="22"/>
      <c r="BVM248" s="22"/>
      <c r="BVN248" s="22"/>
      <c r="BVO248" s="22"/>
      <c r="BVP248" s="22"/>
      <c r="BVQ248" s="22"/>
      <c r="BVR248" s="22"/>
      <c r="BVS248" s="22"/>
      <c r="BVT248" s="22"/>
      <c r="BVU248" s="22"/>
      <c r="BVV248" s="22"/>
      <c r="BVW248" s="22"/>
      <c r="BVX248" s="22"/>
      <c r="BVY248" s="22"/>
      <c r="BVZ248" s="22"/>
      <c r="BWA248" s="22"/>
      <c r="BWB248" s="22"/>
      <c r="BWC248" s="22"/>
      <c r="BWD248" s="22"/>
      <c r="BWE248" s="22"/>
      <c r="BWF248" s="22"/>
      <c r="BWG248" s="22"/>
      <c r="BWH248" s="22"/>
      <c r="BWI248" s="22"/>
      <c r="BWJ248" s="22"/>
      <c r="BWK248" s="22"/>
      <c r="BWL248" s="22"/>
      <c r="BWM248" s="22"/>
      <c r="BWN248" s="22"/>
      <c r="BWO248" s="22"/>
      <c r="BWP248" s="22"/>
      <c r="BWQ248" s="22"/>
      <c r="BWR248" s="22"/>
      <c r="BWS248" s="22"/>
      <c r="BWT248" s="22"/>
      <c r="BWU248" s="22"/>
      <c r="BWV248" s="22"/>
      <c r="BWW248" s="22"/>
      <c r="BWX248" s="22"/>
      <c r="BWY248" s="22"/>
      <c r="BWZ248" s="22"/>
      <c r="BXA248" s="22"/>
      <c r="BXB248" s="22"/>
      <c r="BXC248" s="22"/>
      <c r="BXD248" s="22"/>
      <c r="BXE248" s="22"/>
      <c r="BXF248" s="22"/>
      <c r="BXG248" s="22"/>
      <c r="BXH248" s="22"/>
      <c r="BXI248" s="22"/>
      <c r="BXJ248" s="22"/>
      <c r="BXK248" s="22"/>
      <c r="BXL248" s="22"/>
      <c r="BXM248" s="22"/>
      <c r="BXN248" s="22"/>
      <c r="BXO248" s="22"/>
      <c r="BXP248" s="22"/>
      <c r="BXQ248" s="22"/>
      <c r="BXR248" s="22"/>
      <c r="BXS248" s="22"/>
      <c r="BXT248" s="22"/>
      <c r="BXU248" s="22"/>
      <c r="BXV248" s="22"/>
      <c r="BXW248" s="22"/>
      <c r="BXX248" s="22"/>
      <c r="BXY248" s="22"/>
      <c r="BXZ248" s="22"/>
      <c r="BYA248" s="22"/>
      <c r="BYB248" s="22"/>
      <c r="BYC248" s="22"/>
      <c r="BYD248" s="22"/>
      <c r="BYE248" s="22"/>
      <c r="BYF248" s="22"/>
      <c r="BYG248" s="22"/>
      <c r="BYH248" s="22"/>
      <c r="BYI248" s="22"/>
      <c r="BYJ248" s="22"/>
      <c r="BYK248" s="22"/>
      <c r="BYL248" s="22"/>
      <c r="BYM248" s="22"/>
      <c r="BYN248" s="22"/>
      <c r="BYO248" s="22"/>
      <c r="BYP248" s="22"/>
      <c r="BYQ248" s="22"/>
      <c r="BYR248" s="22"/>
      <c r="BYS248" s="22"/>
      <c r="BYT248" s="22"/>
      <c r="BYU248" s="22"/>
      <c r="BYV248" s="22"/>
      <c r="BYW248" s="22"/>
      <c r="BYX248" s="22"/>
      <c r="BYY248" s="22"/>
      <c r="BYZ248" s="22"/>
      <c r="BZA248" s="22"/>
      <c r="BZB248" s="22"/>
      <c r="BZC248" s="22"/>
      <c r="BZD248" s="22"/>
      <c r="BZE248" s="22"/>
      <c r="BZF248" s="22"/>
      <c r="BZG248" s="22"/>
      <c r="BZH248" s="22"/>
      <c r="BZI248" s="22"/>
      <c r="BZJ248" s="22"/>
      <c r="BZK248" s="22"/>
      <c r="BZL248" s="22"/>
      <c r="BZM248" s="22"/>
      <c r="BZN248" s="22"/>
      <c r="BZO248" s="22"/>
      <c r="BZP248" s="22"/>
      <c r="BZQ248" s="22"/>
      <c r="BZR248" s="22"/>
      <c r="BZS248" s="22"/>
      <c r="BZT248" s="22"/>
      <c r="BZU248" s="22"/>
      <c r="BZV248" s="22"/>
      <c r="BZW248" s="22"/>
      <c r="BZX248" s="22"/>
      <c r="BZY248" s="22"/>
      <c r="BZZ248" s="22"/>
      <c r="CAA248" s="22"/>
      <c r="CAB248" s="22"/>
      <c r="CAC248" s="22"/>
      <c r="CAD248" s="22"/>
      <c r="CAE248" s="22"/>
      <c r="CAF248" s="22"/>
      <c r="CAG248" s="22"/>
      <c r="CAH248" s="22"/>
      <c r="CAI248" s="22"/>
      <c r="CAJ248" s="22"/>
      <c r="CAK248" s="22"/>
      <c r="CAL248" s="22"/>
      <c r="CAM248" s="22"/>
      <c r="CAN248" s="22"/>
      <c r="CAO248" s="22"/>
      <c r="CAP248" s="22"/>
      <c r="CAQ248" s="22"/>
      <c r="CAR248" s="22"/>
      <c r="CAS248" s="22"/>
      <c r="CAT248" s="22"/>
      <c r="CAU248" s="22"/>
      <c r="CAV248" s="22"/>
      <c r="CAW248" s="22"/>
      <c r="CAX248" s="22"/>
      <c r="CAY248" s="22"/>
      <c r="CAZ248" s="22"/>
      <c r="CBA248" s="22"/>
      <c r="CBB248" s="22"/>
      <c r="CBC248" s="22"/>
      <c r="CBD248" s="22"/>
      <c r="CBE248" s="22"/>
      <c r="CBF248" s="22"/>
      <c r="CBG248" s="22"/>
      <c r="CBH248" s="22"/>
      <c r="CBI248" s="22"/>
      <c r="CBJ248" s="22"/>
      <c r="CBK248" s="22"/>
      <c r="CBL248" s="22"/>
      <c r="CBM248" s="22"/>
      <c r="CBN248" s="22"/>
      <c r="CBO248" s="22"/>
      <c r="CBP248" s="22"/>
      <c r="CBQ248" s="22"/>
      <c r="CBR248" s="22"/>
      <c r="CBS248" s="22"/>
      <c r="CBT248" s="22"/>
      <c r="CBU248" s="22"/>
      <c r="CBV248" s="22"/>
      <c r="CBW248" s="22"/>
      <c r="CBX248" s="22"/>
      <c r="CBY248" s="22"/>
      <c r="CBZ248" s="22"/>
      <c r="CCA248" s="22"/>
      <c r="CCB248" s="22"/>
      <c r="CCC248" s="22"/>
      <c r="CCD248" s="22"/>
      <c r="CCE248" s="22"/>
      <c r="CCF248" s="22"/>
      <c r="CCG248" s="22"/>
      <c r="CCH248" s="22"/>
      <c r="CCI248" s="22"/>
      <c r="CCJ248" s="22"/>
      <c r="CCK248" s="22"/>
      <c r="CCL248" s="22"/>
      <c r="CCM248" s="22"/>
      <c r="CCN248" s="22"/>
      <c r="CCO248" s="22"/>
      <c r="CCP248" s="22"/>
      <c r="CCQ248" s="22"/>
      <c r="CCR248" s="22"/>
      <c r="CCS248" s="22"/>
      <c r="CCT248" s="22"/>
      <c r="CCU248" s="22"/>
      <c r="CCV248" s="22"/>
      <c r="CCW248" s="22"/>
      <c r="CCX248" s="22"/>
      <c r="CCY248" s="22"/>
      <c r="CCZ248" s="22"/>
      <c r="CDA248" s="22"/>
      <c r="CDB248" s="22"/>
      <c r="CDC248" s="22"/>
      <c r="CDD248" s="22"/>
      <c r="CDE248" s="22"/>
      <c r="CDF248" s="22"/>
      <c r="CDG248" s="22"/>
      <c r="CDH248" s="22"/>
      <c r="CDI248" s="22"/>
      <c r="CDJ248" s="22"/>
      <c r="CDK248" s="22"/>
      <c r="CDL248" s="22"/>
      <c r="CDM248" s="22"/>
      <c r="CDN248" s="22"/>
      <c r="CDO248" s="22"/>
      <c r="CDP248" s="22"/>
      <c r="CDQ248" s="22"/>
      <c r="CDR248" s="22"/>
      <c r="CDS248" s="22"/>
      <c r="CDT248" s="22"/>
      <c r="CDU248" s="22"/>
      <c r="CDV248" s="22"/>
      <c r="CDW248" s="22"/>
      <c r="CDX248" s="22"/>
      <c r="CDY248" s="22"/>
      <c r="CDZ248" s="22"/>
      <c r="CEA248" s="22"/>
      <c r="CEB248" s="22"/>
      <c r="CEC248" s="22"/>
      <c r="CED248" s="22"/>
      <c r="CEE248" s="22"/>
      <c r="CEF248" s="22"/>
      <c r="CEG248" s="22"/>
      <c r="CEH248" s="22"/>
      <c r="CEI248" s="22"/>
      <c r="CEJ248" s="22"/>
      <c r="CEK248" s="22"/>
      <c r="CEL248" s="22"/>
      <c r="CEM248" s="22"/>
      <c r="CEN248" s="22"/>
      <c r="CEO248" s="22"/>
      <c r="CEP248" s="22"/>
      <c r="CEQ248" s="22"/>
      <c r="CER248" s="22"/>
      <c r="CES248" s="22"/>
      <c r="CET248" s="22"/>
      <c r="CEU248" s="22"/>
      <c r="CEV248" s="22"/>
      <c r="CEW248" s="22"/>
      <c r="CEX248" s="22"/>
      <c r="CEY248" s="22"/>
      <c r="CEZ248" s="22"/>
      <c r="CFA248" s="22"/>
      <c r="CFB248" s="22"/>
      <c r="CFC248" s="22"/>
      <c r="CFD248" s="22"/>
      <c r="CFE248" s="22"/>
      <c r="CFF248" s="22"/>
      <c r="CFG248" s="22"/>
      <c r="CFH248" s="22"/>
      <c r="CFI248" s="22"/>
      <c r="CFJ248" s="22"/>
      <c r="CFK248" s="22"/>
      <c r="CFL248" s="22"/>
      <c r="CFM248" s="22"/>
      <c r="CFN248" s="22"/>
      <c r="CFO248" s="22"/>
      <c r="CFP248" s="22"/>
      <c r="CFQ248" s="22"/>
      <c r="CFR248" s="22"/>
      <c r="CFS248" s="22"/>
      <c r="CFT248" s="22"/>
      <c r="CFU248" s="22"/>
      <c r="CFV248" s="22"/>
      <c r="CFW248" s="22"/>
      <c r="CFX248" s="22"/>
      <c r="CFY248" s="22"/>
      <c r="CFZ248" s="22"/>
      <c r="CGA248" s="22"/>
      <c r="CGB248" s="22"/>
      <c r="CGC248" s="22"/>
      <c r="CGD248" s="22"/>
      <c r="CGE248" s="22"/>
      <c r="CGF248" s="22"/>
      <c r="CGG248" s="22"/>
      <c r="CGH248" s="22"/>
      <c r="CGI248" s="22"/>
      <c r="CGJ248" s="22"/>
      <c r="CGK248" s="22"/>
      <c r="CGL248" s="22"/>
      <c r="CGM248" s="22"/>
      <c r="CGN248" s="22"/>
      <c r="CGO248" s="22"/>
      <c r="CGP248" s="22"/>
      <c r="CGQ248" s="22"/>
      <c r="CGR248" s="22"/>
      <c r="CGS248" s="22"/>
      <c r="CGT248" s="22"/>
      <c r="CGU248" s="22"/>
      <c r="CGV248" s="22"/>
      <c r="CGW248" s="22"/>
      <c r="CGX248" s="22"/>
      <c r="CGY248" s="22"/>
      <c r="CGZ248" s="22"/>
      <c r="CHA248" s="22"/>
      <c r="CHB248" s="22"/>
      <c r="CHC248" s="22"/>
      <c r="CHD248" s="22"/>
      <c r="CHE248" s="22"/>
      <c r="CHF248" s="22"/>
      <c r="CHG248" s="22"/>
      <c r="CHH248" s="22"/>
      <c r="CHI248" s="22"/>
      <c r="CHJ248" s="22"/>
      <c r="CHK248" s="22"/>
      <c r="CHL248" s="22"/>
      <c r="CHM248" s="22"/>
      <c r="CHN248" s="22"/>
      <c r="CHO248" s="22"/>
      <c r="CHP248" s="22"/>
      <c r="CHQ248" s="22"/>
      <c r="CHR248" s="22"/>
      <c r="CHS248" s="22"/>
      <c r="CHT248" s="22"/>
      <c r="CHU248" s="22"/>
      <c r="CHV248" s="22"/>
      <c r="CHW248" s="22"/>
      <c r="CHX248" s="22"/>
      <c r="CHY248" s="22"/>
      <c r="CHZ248" s="22"/>
      <c r="CIA248" s="22"/>
      <c r="CIB248" s="22"/>
      <c r="CIC248" s="22"/>
      <c r="CID248" s="22"/>
      <c r="CIE248" s="22"/>
      <c r="CIF248" s="22"/>
      <c r="CIG248" s="22"/>
      <c r="CIH248" s="22"/>
      <c r="CII248" s="22"/>
      <c r="CIJ248" s="22"/>
      <c r="CIK248" s="22"/>
      <c r="CIL248" s="22"/>
      <c r="CIM248" s="22"/>
      <c r="CIN248" s="22"/>
      <c r="CIO248" s="22"/>
      <c r="CIP248" s="22"/>
      <c r="CIQ248" s="22"/>
      <c r="CIR248" s="22"/>
      <c r="CIS248" s="22"/>
      <c r="CIT248" s="22"/>
      <c r="CIU248" s="22"/>
      <c r="CIV248" s="22"/>
      <c r="CIW248" s="22"/>
      <c r="CIX248" s="22"/>
      <c r="CIY248" s="22"/>
      <c r="CIZ248" s="22"/>
      <c r="CJA248" s="22"/>
      <c r="CJB248" s="22"/>
      <c r="CJC248" s="22"/>
      <c r="CJD248" s="22"/>
      <c r="CJE248" s="22"/>
      <c r="CJF248" s="22"/>
      <c r="CJG248" s="22"/>
      <c r="CJH248" s="22"/>
      <c r="CJI248" s="22"/>
      <c r="CJJ248" s="22"/>
      <c r="CJK248" s="22"/>
      <c r="CJL248" s="22"/>
      <c r="CJM248" s="22"/>
      <c r="CJN248" s="22"/>
      <c r="CJO248" s="22"/>
      <c r="CJP248" s="22"/>
      <c r="CJQ248" s="22"/>
      <c r="CJR248" s="22"/>
      <c r="CJS248" s="22"/>
      <c r="CJT248" s="22"/>
      <c r="CJU248" s="22"/>
      <c r="CJV248" s="22"/>
      <c r="CJW248" s="22"/>
      <c r="CJX248" s="22"/>
      <c r="CJY248" s="22"/>
      <c r="CJZ248" s="22"/>
      <c r="CKA248" s="22"/>
      <c r="CKB248" s="22"/>
      <c r="CKC248" s="22"/>
      <c r="CKD248" s="22"/>
      <c r="CKE248" s="22"/>
      <c r="CKF248" s="22"/>
      <c r="CKG248" s="22"/>
      <c r="CKH248" s="22"/>
      <c r="CKI248" s="22"/>
      <c r="CKJ248" s="22"/>
      <c r="CKK248" s="22"/>
      <c r="CKL248" s="22"/>
      <c r="CKM248" s="22"/>
      <c r="CKN248" s="22"/>
      <c r="CKO248" s="22"/>
      <c r="CKP248" s="22"/>
      <c r="CKQ248" s="22"/>
      <c r="CKR248" s="22"/>
      <c r="CKS248" s="22"/>
      <c r="CKT248" s="22"/>
      <c r="CKU248" s="22"/>
      <c r="CKV248" s="22"/>
      <c r="CKW248" s="22"/>
      <c r="CKX248" s="22"/>
      <c r="CKY248" s="22"/>
      <c r="CKZ248" s="22"/>
      <c r="CLA248" s="22"/>
      <c r="CLB248" s="22"/>
      <c r="CLC248" s="22"/>
      <c r="CLD248" s="22"/>
      <c r="CLE248" s="22"/>
      <c r="CLF248" s="22"/>
      <c r="CLG248" s="22"/>
      <c r="CLH248" s="22"/>
      <c r="CLI248" s="22"/>
      <c r="CLJ248" s="22"/>
      <c r="CLK248" s="22"/>
      <c r="CLL248" s="22"/>
      <c r="CLM248" s="22"/>
      <c r="CLN248" s="22"/>
      <c r="CLO248" s="22"/>
      <c r="CLP248" s="22"/>
      <c r="CLQ248" s="22"/>
      <c r="CLR248" s="22"/>
      <c r="CLS248" s="22"/>
      <c r="CLT248" s="22"/>
      <c r="CLU248" s="22"/>
      <c r="CLV248" s="22"/>
      <c r="CLW248" s="22"/>
      <c r="CLX248" s="22"/>
      <c r="CLY248" s="22"/>
      <c r="CLZ248" s="22"/>
      <c r="CMA248" s="22"/>
      <c r="CMB248" s="22"/>
      <c r="CMC248" s="22"/>
      <c r="CMD248" s="22"/>
      <c r="CME248" s="22"/>
      <c r="CMF248" s="22"/>
      <c r="CMG248" s="22"/>
      <c r="CMH248" s="22"/>
      <c r="CMI248" s="22"/>
      <c r="CMJ248" s="22"/>
      <c r="CMK248" s="22"/>
      <c r="CML248" s="22"/>
      <c r="CMM248" s="22"/>
      <c r="CMN248" s="22"/>
      <c r="CMO248" s="22"/>
      <c r="CMP248" s="22"/>
      <c r="CMQ248" s="22"/>
      <c r="CMR248" s="22"/>
      <c r="CMS248" s="22"/>
      <c r="CMT248" s="22"/>
      <c r="CMU248" s="22"/>
      <c r="CMV248" s="22"/>
      <c r="CMW248" s="22"/>
      <c r="CMX248" s="22"/>
      <c r="CMY248" s="22"/>
      <c r="CMZ248" s="22"/>
      <c r="CNA248" s="22"/>
      <c r="CNB248" s="22"/>
      <c r="CNC248" s="22"/>
      <c r="CND248" s="22"/>
      <c r="CNE248" s="22"/>
      <c r="CNF248" s="22"/>
      <c r="CNG248" s="22"/>
      <c r="CNH248" s="22"/>
      <c r="CNI248" s="22"/>
      <c r="CNJ248" s="22"/>
      <c r="CNK248" s="22"/>
      <c r="CNL248" s="22"/>
      <c r="CNM248" s="22"/>
      <c r="CNN248" s="22"/>
      <c r="CNO248" s="22"/>
      <c r="CNP248" s="22"/>
      <c r="CNQ248" s="22"/>
      <c r="CNR248" s="22"/>
      <c r="CNS248" s="22"/>
      <c r="CNT248" s="22"/>
      <c r="CNU248" s="22"/>
      <c r="CNV248" s="22"/>
      <c r="CNW248" s="22"/>
      <c r="CNX248" s="22"/>
      <c r="CNY248" s="22"/>
      <c r="CNZ248" s="22"/>
      <c r="COA248" s="22"/>
      <c r="COB248" s="22"/>
      <c r="COC248" s="22"/>
      <c r="COD248" s="22"/>
      <c r="COE248" s="22"/>
      <c r="COF248" s="22"/>
      <c r="COG248" s="22"/>
      <c r="COH248" s="22"/>
      <c r="COI248" s="22"/>
      <c r="COJ248" s="22"/>
      <c r="COK248" s="22"/>
      <c r="COL248" s="22"/>
      <c r="COM248" s="22"/>
      <c r="CON248" s="22"/>
      <c r="COO248" s="22"/>
      <c r="COP248" s="22"/>
      <c r="COQ248" s="22"/>
      <c r="COR248" s="22"/>
      <c r="COS248" s="22"/>
      <c r="COT248" s="22"/>
      <c r="COU248" s="22"/>
      <c r="COV248" s="22"/>
      <c r="COW248" s="22"/>
      <c r="COX248" s="22"/>
      <c r="COY248" s="22"/>
      <c r="COZ248" s="22"/>
      <c r="CPA248" s="22"/>
      <c r="CPB248" s="22"/>
      <c r="CPC248" s="22"/>
      <c r="CPD248" s="22"/>
      <c r="CPE248" s="22"/>
      <c r="CPF248" s="22"/>
      <c r="CPG248" s="22"/>
      <c r="CPH248" s="22"/>
      <c r="CPI248" s="22"/>
      <c r="CPJ248" s="22"/>
      <c r="CPK248" s="22"/>
      <c r="CPL248" s="22"/>
      <c r="CPM248" s="22"/>
      <c r="CPN248" s="22"/>
      <c r="CPO248" s="22"/>
      <c r="CPP248" s="22"/>
      <c r="CPQ248" s="22"/>
      <c r="CPR248" s="22"/>
      <c r="CPS248" s="22"/>
      <c r="CPT248" s="22"/>
      <c r="CPU248" s="22"/>
      <c r="CPV248" s="22"/>
      <c r="CPW248" s="22"/>
      <c r="CPX248" s="22"/>
      <c r="CPY248" s="22"/>
      <c r="CPZ248" s="22"/>
      <c r="CQA248" s="22"/>
      <c r="CQB248" s="22"/>
      <c r="CQC248" s="22"/>
      <c r="CQD248" s="22"/>
      <c r="CQE248" s="22"/>
      <c r="CQF248" s="22"/>
      <c r="CQG248" s="22"/>
      <c r="CQH248" s="22"/>
      <c r="CQI248" s="22"/>
      <c r="CQJ248" s="22"/>
      <c r="CQK248" s="22"/>
      <c r="CQL248" s="22"/>
      <c r="CQM248" s="22"/>
      <c r="CQN248" s="22"/>
      <c r="CQO248" s="22"/>
      <c r="CQP248" s="22"/>
      <c r="CQQ248" s="22"/>
      <c r="CQR248" s="22"/>
      <c r="CQS248" s="22"/>
      <c r="CQT248" s="22"/>
      <c r="CQU248" s="22"/>
      <c r="CQV248" s="22"/>
      <c r="CQW248" s="22"/>
      <c r="CQX248" s="22"/>
      <c r="CQY248" s="22"/>
      <c r="CQZ248" s="22"/>
      <c r="CRA248" s="22"/>
      <c r="CRB248" s="22"/>
      <c r="CRC248" s="22"/>
      <c r="CRD248" s="22"/>
      <c r="CRE248" s="22"/>
      <c r="CRF248" s="22"/>
      <c r="CRG248" s="22"/>
      <c r="CRH248" s="22"/>
      <c r="CRI248" s="22"/>
      <c r="CRJ248" s="22"/>
      <c r="CRK248" s="22"/>
      <c r="CRL248" s="22"/>
      <c r="CRM248" s="22"/>
      <c r="CRN248" s="22"/>
      <c r="CRO248" s="22"/>
      <c r="CRP248" s="22"/>
      <c r="CRQ248" s="22"/>
      <c r="CRR248" s="22"/>
      <c r="CRS248" s="22"/>
      <c r="CRT248" s="22"/>
      <c r="CRU248" s="22"/>
      <c r="CRV248" s="22"/>
      <c r="CRW248" s="22"/>
      <c r="CRX248" s="22"/>
      <c r="CRY248" s="22"/>
      <c r="CRZ248" s="22"/>
      <c r="CSA248" s="22"/>
      <c r="CSB248" s="22"/>
      <c r="CSC248" s="22"/>
      <c r="CSD248" s="22"/>
      <c r="CSE248" s="22"/>
      <c r="CSF248" s="22"/>
      <c r="CSG248" s="22"/>
      <c r="CSH248" s="22"/>
      <c r="CSI248" s="22"/>
      <c r="CSJ248" s="22"/>
      <c r="CSK248" s="22"/>
      <c r="CSL248" s="22"/>
      <c r="CSM248" s="22"/>
      <c r="CSN248" s="22"/>
      <c r="CSO248" s="22"/>
      <c r="CSP248" s="22"/>
      <c r="CSQ248" s="22"/>
      <c r="CSR248" s="22"/>
      <c r="CSS248" s="22"/>
      <c r="CST248" s="22"/>
      <c r="CSU248" s="22"/>
      <c r="CSV248" s="22"/>
      <c r="CSW248" s="22"/>
      <c r="CSX248" s="22"/>
      <c r="CSY248" s="22"/>
      <c r="CSZ248" s="22"/>
      <c r="CTA248" s="22"/>
      <c r="CTB248" s="22"/>
      <c r="CTC248" s="22"/>
      <c r="CTD248" s="22"/>
      <c r="CTE248" s="22"/>
      <c r="CTF248" s="22"/>
      <c r="CTG248" s="22"/>
      <c r="CTH248" s="22"/>
      <c r="CTI248" s="22"/>
      <c r="CTJ248" s="22"/>
      <c r="CTK248" s="22"/>
      <c r="CTL248" s="22"/>
      <c r="CTM248" s="22"/>
      <c r="CTN248" s="22"/>
      <c r="CTO248" s="22"/>
      <c r="CTP248" s="22"/>
      <c r="CTQ248" s="22"/>
      <c r="CTR248" s="22"/>
      <c r="CTS248" s="22"/>
      <c r="CTT248" s="22"/>
      <c r="CTU248" s="22"/>
      <c r="CTV248" s="22"/>
      <c r="CTW248" s="22"/>
      <c r="CTX248" s="22"/>
      <c r="CTY248" s="22"/>
      <c r="CTZ248" s="22"/>
      <c r="CUA248" s="22"/>
      <c r="CUB248" s="22"/>
      <c r="CUC248" s="22"/>
      <c r="CUD248" s="22"/>
      <c r="CUE248" s="22"/>
      <c r="CUF248" s="22"/>
      <c r="CUG248" s="22"/>
      <c r="CUH248" s="22"/>
      <c r="CUI248" s="22"/>
      <c r="CUJ248" s="22"/>
      <c r="CUK248" s="22"/>
      <c r="CUL248" s="22"/>
      <c r="CUM248" s="22"/>
      <c r="CUN248" s="22"/>
      <c r="CUO248" s="22"/>
      <c r="CUP248" s="22"/>
      <c r="CUQ248" s="22"/>
      <c r="CUR248" s="22"/>
      <c r="CUS248" s="22"/>
      <c r="CUT248" s="22"/>
      <c r="CUU248" s="22"/>
      <c r="CUV248" s="22"/>
      <c r="CUW248" s="22"/>
      <c r="CUX248" s="22"/>
      <c r="CUY248" s="22"/>
      <c r="CUZ248" s="22"/>
      <c r="CVA248" s="22"/>
      <c r="CVB248" s="22"/>
      <c r="CVC248" s="22"/>
      <c r="CVD248" s="22"/>
      <c r="CVE248" s="22"/>
      <c r="CVF248" s="22"/>
      <c r="CVG248" s="22"/>
      <c r="CVH248" s="22"/>
      <c r="CVI248" s="22"/>
      <c r="CVJ248" s="22"/>
      <c r="CVK248" s="22"/>
      <c r="CVL248" s="22"/>
      <c r="CVM248" s="22"/>
      <c r="CVN248" s="22"/>
      <c r="CVO248" s="22"/>
      <c r="CVP248" s="22"/>
      <c r="CVQ248" s="22"/>
      <c r="CVR248" s="22"/>
      <c r="CVS248" s="22"/>
      <c r="CVT248" s="22"/>
      <c r="CVU248" s="22"/>
      <c r="CVV248" s="22"/>
      <c r="CVW248" s="22"/>
      <c r="CVX248" s="22"/>
      <c r="CVY248" s="22"/>
      <c r="CVZ248" s="22"/>
      <c r="CWA248" s="22"/>
      <c r="CWB248" s="22"/>
      <c r="CWC248" s="22"/>
      <c r="CWD248" s="22"/>
      <c r="CWE248" s="22"/>
      <c r="CWF248" s="22"/>
      <c r="CWG248" s="22"/>
      <c r="CWH248" s="22"/>
      <c r="CWI248" s="22"/>
      <c r="CWJ248" s="22"/>
      <c r="CWK248" s="22"/>
      <c r="CWL248" s="22"/>
      <c r="CWM248" s="22"/>
      <c r="CWN248" s="22"/>
      <c r="CWO248" s="22"/>
      <c r="CWP248" s="22"/>
      <c r="CWQ248" s="22"/>
      <c r="CWR248" s="22"/>
      <c r="CWS248" s="22"/>
      <c r="CWT248" s="22"/>
      <c r="CWU248" s="22"/>
      <c r="CWV248" s="22"/>
      <c r="CWW248" s="22"/>
      <c r="CWX248" s="22"/>
      <c r="CWY248" s="22"/>
      <c r="CWZ248" s="22"/>
      <c r="CXA248" s="22"/>
      <c r="CXB248" s="22"/>
      <c r="CXC248" s="22"/>
      <c r="CXD248" s="22"/>
      <c r="CXE248" s="22"/>
      <c r="CXF248" s="22"/>
      <c r="CXG248" s="22"/>
      <c r="CXH248" s="22"/>
      <c r="CXI248" s="22"/>
      <c r="CXJ248" s="22"/>
      <c r="CXK248" s="22"/>
      <c r="CXL248" s="22"/>
      <c r="CXM248" s="22"/>
      <c r="CXN248" s="22"/>
      <c r="CXO248" s="22"/>
      <c r="CXP248" s="22"/>
      <c r="CXQ248" s="22"/>
      <c r="CXR248" s="22"/>
      <c r="CXS248" s="22"/>
      <c r="CXT248" s="22"/>
      <c r="CXU248" s="22"/>
      <c r="CXV248" s="22"/>
      <c r="CXW248" s="22"/>
      <c r="CXX248" s="22"/>
      <c r="CXY248" s="22"/>
      <c r="CXZ248" s="22"/>
      <c r="CYA248" s="22"/>
      <c r="CYB248" s="22"/>
      <c r="CYC248" s="22"/>
      <c r="CYD248" s="22"/>
      <c r="CYE248" s="22"/>
      <c r="CYF248" s="22"/>
      <c r="CYG248" s="22"/>
      <c r="CYH248" s="22"/>
      <c r="CYI248" s="22"/>
      <c r="CYJ248" s="22"/>
      <c r="CYK248" s="22"/>
      <c r="CYL248" s="22"/>
      <c r="CYM248" s="22"/>
      <c r="CYN248" s="22"/>
      <c r="CYO248" s="22"/>
      <c r="CYP248" s="22"/>
      <c r="CYQ248" s="22"/>
      <c r="CYR248" s="22"/>
      <c r="CYS248" s="22"/>
      <c r="CYT248" s="22"/>
      <c r="CYU248" s="22"/>
      <c r="CYV248" s="22"/>
      <c r="CYW248" s="22"/>
      <c r="CYX248" s="22"/>
      <c r="CYY248" s="22"/>
      <c r="CYZ248" s="22"/>
      <c r="CZA248" s="22"/>
      <c r="CZB248" s="22"/>
      <c r="CZC248" s="22"/>
      <c r="CZD248" s="22"/>
      <c r="CZE248" s="22"/>
      <c r="CZF248" s="22"/>
      <c r="CZG248" s="22"/>
      <c r="CZH248" s="22"/>
      <c r="CZI248" s="22"/>
      <c r="CZJ248" s="22"/>
      <c r="CZK248" s="22"/>
      <c r="CZL248" s="22"/>
      <c r="CZM248" s="22"/>
      <c r="CZN248" s="22"/>
      <c r="CZO248" s="22"/>
      <c r="CZP248" s="22"/>
      <c r="CZQ248" s="22"/>
      <c r="CZR248" s="22"/>
      <c r="CZS248" s="22"/>
      <c r="CZT248" s="22"/>
      <c r="CZU248" s="22"/>
      <c r="CZV248" s="22"/>
      <c r="CZW248" s="22"/>
      <c r="CZX248" s="22"/>
      <c r="CZY248" s="22"/>
      <c r="CZZ248" s="22"/>
      <c r="DAA248" s="22"/>
      <c r="DAB248" s="22"/>
      <c r="DAC248" s="22"/>
      <c r="DAD248" s="22"/>
      <c r="DAE248" s="22"/>
      <c r="DAF248" s="22"/>
      <c r="DAG248" s="22"/>
      <c r="DAH248" s="22"/>
      <c r="DAI248" s="22"/>
      <c r="DAJ248" s="22"/>
      <c r="DAK248" s="22"/>
      <c r="DAL248" s="22"/>
      <c r="DAM248" s="22"/>
      <c r="DAN248" s="22"/>
      <c r="DAO248" s="22"/>
      <c r="DAP248" s="22"/>
      <c r="DAQ248" s="22"/>
      <c r="DAR248" s="22"/>
      <c r="DAS248" s="22"/>
      <c r="DAT248" s="22"/>
      <c r="DAU248" s="22"/>
      <c r="DAV248" s="22"/>
      <c r="DAW248" s="22"/>
      <c r="DAX248" s="22"/>
      <c r="DAY248" s="22"/>
      <c r="DAZ248" s="22"/>
      <c r="DBA248" s="22"/>
      <c r="DBB248" s="22"/>
      <c r="DBC248" s="22"/>
      <c r="DBD248" s="22"/>
      <c r="DBE248" s="22"/>
      <c r="DBF248" s="22"/>
      <c r="DBG248" s="22"/>
      <c r="DBH248" s="22"/>
      <c r="DBI248" s="22"/>
      <c r="DBJ248" s="22"/>
      <c r="DBK248" s="22"/>
      <c r="DBL248" s="22"/>
      <c r="DBM248" s="22"/>
      <c r="DBN248" s="22"/>
      <c r="DBO248" s="22"/>
      <c r="DBP248" s="22"/>
      <c r="DBQ248" s="22"/>
      <c r="DBR248" s="22"/>
      <c r="DBS248" s="22"/>
      <c r="DBT248" s="22"/>
      <c r="DBU248" s="22"/>
      <c r="DBV248" s="22"/>
      <c r="DBW248" s="22"/>
      <c r="DBX248" s="22"/>
      <c r="DBY248" s="22"/>
      <c r="DBZ248" s="22"/>
      <c r="DCA248" s="22"/>
      <c r="DCB248" s="22"/>
      <c r="DCC248" s="22"/>
      <c r="DCD248" s="22"/>
      <c r="DCE248" s="22"/>
      <c r="DCF248" s="22"/>
      <c r="DCG248" s="22"/>
      <c r="DCH248" s="22"/>
      <c r="DCI248" s="22"/>
      <c r="DCJ248" s="22"/>
      <c r="DCK248" s="22"/>
      <c r="DCL248" s="22"/>
      <c r="DCM248" s="22"/>
      <c r="DCN248" s="22"/>
      <c r="DCO248" s="22"/>
      <c r="DCP248" s="22"/>
      <c r="DCQ248" s="22"/>
      <c r="DCR248" s="22"/>
      <c r="DCS248" s="22"/>
      <c r="DCT248" s="22"/>
      <c r="DCU248" s="22"/>
      <c r="DCV248" s="22"/>
      <c r="DCW248" s="22"/>
      <c r="DCX248" s="22"/>
      <c r="DCY248" s="22"/>
      <c r="DCZ248" s="22"/>
      <c r="DDA248" s="22"/>
      <c r="DDB248" s="22"/>
      <c r="DDC248" s="22"/>
      <c r="DDD248" s="22"/>
      <c r="DDE248" s="22"/>
      <c r="DDF248" s="22"/>
      <c r="DDG248" s="22"/>
      <c r="DDH248" s="22"/>
      <c r="DDI248" s="22"/>
      <c r="DDJ248" s="22"/>
      <c r="DDK248" s="22"/>
      <c r="DDL248" s="22"/>
      <c r="DDM248" s="22"/>
      <c r="DDN248" s="22"/>
      <c r="DDO248" s="22"/>
      <c r="DDP248" s="22"/>
      <c r="DDQ248" s="22"/>
      <c r="DDR248" s="22"/>
      <c r="DDS248" s="22"/>
      <c r="DDT248" s="22"/>
      <c r="DDU248" s="22"/>
      <c r="DDV248" s="22"/>
      <c r="DDW248" s="22"/>
      <c r="DDX248" s="22"/>
      <c r="DDY248" s="22"/>
      <c r="DDZ248" s="22"/>
      <c r="DEA248" s="22"/>
      <c r="DEB248" s="22"/>
      <c r="DEC248" s="22"/>
      <c r="DED248" s="22"/>
      <c r="DEE248" s="22"/>
      <c r="DEF248" s="22"/>
      <c r="DEG248" s="22"/>
      <c r="DEH248" s="22"/>
      <c r="DEI248" s="22"/>
      <c r="DEJ248" s="22"/>
      <c r="DEK248" s="22"/>
      <c r="DEL248" s="22"/>
      <c r="DEM248" s="22"/>
      <c r="DEN248" s="22"/>
      <c r="DEO248" s="22"/>
      <c r="DEP248" s="22"/>
      <c r="DEQ248" s="22"/>
      <c r="DER248" s="22"/>
      <c r="DES248" s="22"/>
      <c r="DET248" s="22"/>
      <c r="DEU248" s="22"/>
      <c r="DEV248" s="22"/>
      <c r="DEW248" s="22"/>
      <c r="DEX248" s="22"/>
      <c r="DEY248" s="22"/>
      <c r="DEZ248" s="22"/>
      <c r="DFA248" s="22"/>
      <c r="DFB248" s="22"/>
      <c r="DFC248" s="22"/>
      <c r="DFD248" s="22"/>
      <c r="DFE248" s="22"/>
      <c r="DFF248" s="22"/>
      <c r="DFG248" s="22"/>
      <c r="DFH248" s="22"/>
      <c r="DFI248" s="22"/>
      <c r="DFJ248" s="22"/>
      <c r="DFK248" s="22"/>
      <c r="DFL248" s="22"/>
      <c r="DFM248" s="22"/>
      <c r="DFN248" s="22"/>
      <c r="DFO248" s="22"/>
      <c r="DFP248" s="22"/>
      <c r="DFQ248" s="22"/>
      <c r="DFR248" s="22"/>
      <c r="DFS248" s="22"/>
      <c r="DFT248" s="22"/>
      <c r="DFU248" s="22"/>
      <c r="DFV248" s="22"/>
      <c r="DFW248" s="22"/>
      <c r="DFX248" s="22"/>
      <c r="DFY248" s="22"/>
      <c r="DFZ248" s="22"/>
      <c r="DGA248" s="22"/>
      <c r="DGB248" s="22"/>
      <c r="DGC248" s="22"/>
      <c r="DGD248" s="22"/>
      <c r="DGE248" s="22"/>
      <c r="DGF248" s="22"/>
      <c r="DGG248" s="22"/>
      <c r="DGH248" s="22"/>
      <c r="DGI248" s="22"/>
      <c r="DGJ248" s="22"/>
      <c r="DGK248" s="22"/>
      <c r="DGL248" s="22"/>
      <c r="DGM248" s="22"/>
      <c r="DGN248" s="22"/>
      <c r="DGO248" s="22"/>
      <c r="DGP248" s="22"/>
      <c r="DGQ248" s="22"/>
      <c r="DGR248" s="22"/>
      <c r="DGS248" s="22"/>
      <c r="DGT248" s="22"/>
      <c r="DGU248" s="22"/>
      <c r="DGV248" s="22"/>
      <c r="DGW248" s="22"/>
      <c r="DGX248" s="22"/>
      <c r="DGY248" s="22"/>
      <c r="DGZ248" s="22"/>
      <c r="DHA248" s="22"/>
      <c r="DHB248" s="22"/>
      <c r="DHC248" s="22"/>
      <c r="DHD248" s="22"/>
      <c r="DHE248" s="22"/>
      <c r="DHF248" s="22"/>
      <c r="DHG248" s="22"/>
      <c r="DHH248" s="22"/>
      <c r="DHI248" s="22"/>
      <c r="DHJ248" s="22"/>
      <c r="DHK248" s="22"/>
      <c r="DHL248" s="22"/>
      <c r="DHM248" s="22"/>
      <c r="DHN248" s="22"/>
      <c r="DHO248" s="22"/>
      <c r="DHP248" s="22"/>
      <c r="DHQ248" s="22"/>
      <c r="DHR248" s="22"/>
      <c r="DHS248" s="22"/>
      <c r="DHT248" s="22"/>
      <c r="DHU248" s="22"/>
      <c r="DHV248" s="22"/>
      <c r="DHW248" s="22"/>
      <c r="DHX248" s="22"/>
      <c r="DHY248" s="22"/>
      <c r="DHZ248" s="22"/>
      <c r="DIA248" s="22"/>
      <c r="DIB248" s="22"/>
      <c r="DIC248" s="22"/>
      <c r="DID248" s="22"/>
      <c r="DIE248" s="22"/>
      <c r="DIF248" s="22"/>
      <c r="DIG248" s="22"/>
      <c r="DIH248" s="22"/>
      <c r="DII248" s="22"/>
      <c r="DIJ248" s="22"/>
      <c r="DIK248" s="22"/>
      <c r="DIL248" s="22"/>
      <c r="DIM248" s="22"/>
      <c r="DIN248" s="22"/>
      <c r="DIO248" s="22"/>
      <c r="DIP248" s="22"/>
      <c r="DIQ248" s="22"/>
      <c r="DIR248" s="22"/>
      <c r="DIS248" s="22"/>
      <c r="DIT248" s="22"/>
      <c r="DIU248" s="22"/>
      <c r="DIV248" s="22"/>
      <c r="DIW248" s="22"/>
      <c r="DIX248" s="22"/>
      <c r="DIY248" s="22"/>
      <c r="DIZ248" s="22"/>
      <c r="DJA248" s="22"/>
      <c r="DJB248" s="22"/>
      <c r="DJC248" s="22"/>
      <c r="DJD248" s="22"/>
      <c r="DJE248" s="22"/>
      <c r="DJF248" s="22"/>
      <c r="DJG248" s="22"/>
      <c r="DJH248" s="22"/>
      <c r="DJI248" s="22"/>
      <c r="DJJ248" s="22"/>
      <c r="DJK248" s="22"/>
      <c r="DJL248" s="22"/>
      <c r="DJM248" s="22"/>
      <c r="DJN248" s="22"/>
      <c r="DJO248" s="22"/>
      <c r="DJP248" s="22"/>
      <c r="DJQ248" s="22"/>
      <c r="DJR248" s="22"/>
      <c r="DJS248" s="22"/>
      <c r="DJT248" s="22"/>
      <c r="DJU248" s="22"/>
      <c r="DJV248" s="22"/>
      <c r="DJW248" s="22"/>
      <c r="DJX248" s="22"/>
      <c r="DJY248" s="22"/>
      <c r="DJZ248" s="22"/>
      <c r="DKA248" s="22"/>
      <c r="DKB248" s="22"/>
      <c r="DKC248" s="22"/>
      <c r="DKD248" s="22"/>
      <c r="DKE248" s="22"/>
      <c r="DKF248" s="22"/>
      <c r="DKG248" s="22"/>
      <c r="DKH248" s="22"/>
      <c r="DKI248" s="22"/>
      <c r="DKJ248" s="22"/>
      <c r="DKK248" s="22"/>
      <c r="DKL248" s="22"/>
      <c r="DKM248" s="22"/>
      <c r="DKN248" s="22"/>
      <c r="DKO248" s="22"/>
      <c r="DKP248" s="22"/>
      <c r="DKQ248" s="22"/>
      <c r="DKR248" s="22"/>
      <c r="DKS248" s="22"/>
      <c r="DKT248" s="22"/>
      <c r="DKU248" s="22"/>
      <c r="DKV248" s="22"/>
      <c r="DKW248" s="22"/>
      <c r="DKX248" s="22"/>
      <c r="DKY248" s="22"/>
      <c r="DKZ248" s="22"/>
      <c r="DLA248" s="22"/>
      <c r="DLB248" s="22"/>
      <c r="DLC248" s="22"/>
      <c r="DLD248" s="22"/>
      <c r="DLE248" s="22"/>
      <c r="DLF248" s="22"/>
      <c r="DLG248" s="22"/>
      <c r="DLH248" s="22"/>
      <c r="DLI248" s="22"/>
      <c r="DLJ248" s="22"/>
      <c r="DLK248" s="22"/>
      <c r="DLL248" s="22"/>
      <c r="DLM248" s="22"/>
      <c r="DLN248" s="22"/>
      <c r="DLO248" s="22"/>
      <c r="DLP248" s="22"/>
      <c r="DLQ248" s="22"/>
      <c r="DLR248" s="22"/>
      <c r="DLS248" s="22"/>
      <c r="DLT248" s="22"/>
      <c r="DLU248" s="22"/>
      <c r="DLV248" s="22"/>
      <c r="DLW248" s="22"/>
      <c r="DLX248" s="22"/>
      <c r="DLY248" s="22"/>
      <c r="DLZ248" s="22"/>
      <c r="DMA248" s="22"/>
      <c r="DMB248" s="22"/>
      <c r="DMC248" s="22"/>
      <c r="DMD248" s="22"/>
      <c r="DME248" s="22"/>
      <c r="DMF248" s="22"/>
      <c r="DMG248" s="22"/>
      <c r="DMH248" s="22"/>
      <c r="DMI248" s="22"/>
      <c r="DMJ248" s="22"/>
      <c r="DMK248" s="22"/>
      <c r="DML248" s="22"/>
      <c r="DMM248" s="22"/>
      <c r="DMN248" s="22"/>
      <c r="DMO248" s="22"/>
      <c r="DMP248" s="22"/>
      <c r="DMQ248" s="22"/>
      <c r="DMR248" s="22"/>
      <c r="DMS248" s="22"/>
      <c r="DMT248" s="22"/>
      <c r="DMU248" s="22"/>
      <c r="DMV248" s="22"/>
      <c r="DMW248" s="22"/>
      <c r="DMX248" s="22"/>
      <c r="DMY248" s="22"/>
      <c r="DMZ248" s="22"/>
      <c r="DNA248" s="22"/>
      <c r="DNB248" s="22"/>
      <c r="DNC248" s="22"/>
      <c r="DND248" s="22"/>
      <c r="DNE248" s="22"/>
      <c r="DNF248" s="22"/>
      <c r="DNG248" s="22"/>
      <c r="DNH248" s="22"/>
      <c r="DNI248" s="22"/>
      <c r="DNJ248" s="22"/>
      <c r="DNK248" s="22"/>
      <c r="DNL248" s="22"/>
      <c r="DNM248" s="22"/>
      <c r="DNN248" s="22"/>
      <c r="DNO248" s="22"/>
      <c r="DNP248" s="22"/>
      <c r="DNQ248" s="22"/>
      <c r="DNR248" s="22"/>
      <c r="DNS248" s="22"/>
      <c r="DNT248" s="22"/>
      <c r="DNU248" s="22"/>
      <c r="DNV248" s="22"/>
      <c r="DNW248" s="22"/>
      <c r="DNX248" s="22"/>
      <c r="DNY248" s="22"/>
      <c r="DNZ248" s="22"/>
      <c r="DOA248" s="22"/>
      <c r="DOB248" s="22"/>
      <c r="DOC248" s="22"/>
      <c r="DOD248" s="22"/>
      <c r="DOE248" s="22"/>
      <c r="DOF248" s="22"/>
      <c r="DOG248" s="22"/>
      <c r="DOH248" s="22"/>
      <c r="DOI248" s="22"/>
      <c r="DOJ248" s="22"/>
      <c r="DOK248" s="22"/>
      <c r="DOL248" s="22"/>
      <c r="DOM248" s="22"/>
      <c r="DON248" s="22"/>
      <c r="DOO248" s="22"/>
      <c r="DOP248" s="22"/>
      <c r="DOQ248" s="22"/>
      <c r="DOR248" s="22"/>
      <c r="DOS248" s="22"/>
      <c r="DOT248" s="22"/>
      <c r="DOU248" s="22"/>
      <c r="DOV248" s="22"/>
      <c r="DOW248" s="22"/>
      <c r="DOX248" s="22"/>
      <c r="DOY248" s="22"/>
      <c r="DOZ248" s="22"/>
      <c r="DPA248" s="22"/>
      <c r="DPB248" s="22"/>
      <c r="DPC248" s="22"/>
      <c r="DPD248" s="22"/>
      <c r="DPE248" s="22"/>
      <c r="DPF248" s="22"/>
      <c r="DPG248" s="22"/>
      <c r="DPH248" s="22"/>
      <c r="DPI248" s="22"/>
      <c r="DPJ248" s="22"/>
      <c r="DPK248" s="22"/>
      <c r="DPL248" s="22"/>
      <c r="DPM248" s="22"/>
      <c r="DPN248" s="22"/>
      <c r="DPO248" s="22"/>
      <c r="DPP248" s="22"/>
      <c r="DPQ248" s="22"/>
      <c r="DPR248" s="22"/>
      <c r="DPS248" s="22"/>
      <c r="DPT248" s="22"/>
      <c r="DPU248" s="22"/>
      <c r="DPV248" s="22"/>
      <c r="DPW248" s="22"/>
      <c r="DPX248" s="22"/>
      <c r="DPY248" s="22"/>
      <c r="DPZ248" s="22"/>
      <c r="DQA248" s="22"/>
      <c r="DQB248" s="22"/>
      <c r="DQC248" s="22"/>
      <c r="DQD248" s="22"/>
      <c r="DQE248" s="22"/>
      <c r="DQF248" s="22"/>
      <c r="DQG248" s="22"/>
      <c r="DQH248" s="22"/>
      <c r="DQI248" s="22"/>
      <c r="DQJ248" s="22"/>
      <c r="DQK248" s="22"/>
      <c r="DQL248" s="22"/>
      <c r="DQM248" s="22"/>
      <c r="DQN248" s="22"/>
      <c r="DQO248" s="22"/>
      <c r="DQP248" s="22"/>
      <c r="DQQ248" s="22"/>
      <c r="DQR248" s="22"/>
      <c r="DQS248" s="22"/>
      <c r="DQT248" s="22"/>
      <c r="DQU248" s="22"/>
      <c r="DQV248" s="22"/>
      <c r="DQW248" s="22"/>
      <c r="DQX248" s="22"/>
      <c r="DQY248" s="22"/>
      <c r="DQZ248" s="22"/>
      <c r="DRA248" s="22"/>
      <c r="DRB248" s="22"/>
      <c r="DRC248" s="22"/>
      <c r="DRD248" s="22"/>
      <c r="DRE248" s="22"/>
      <c r="DRF248" s="22"/>
      <c r="DRG248" s="22"/>
      <c r="DRH248" s="22"/>
      <c r="DRI248" s="22"/>
      <c r="DRJ248" s="22"/>
      <c r="DRK248" s="22"/>
      <c r="DRL248" s="22"/>
      <c r="DRM248" s="22"/>
      <c r="DRN248" s="22"/>
      <c r="DRO248" s="22"/>
      <c r="DRP248" s="22"/>
      <c r="DRQ248" s="22"/>
      <c r="DRR248" s="22"/>
      <c r="DRS248" s="22"/>
      <c r="DRT248" s="22"/>
      <c r="DRU248" s="22"/>
      <c r="DRV248" s="22"/>
      <c r="DRW248" s="22"/>
      <c r="DRX248" s="22"/>
      <c r="DRY248" s="22"/>
      <c r="DRZ248" s="22"/>
      <c r="DSA248" s="22"/>
      <c r="DSB248" s="22"/>
      <c r="DSC248" s="22"/>
      <c r="DSD248" s="22"/>
      <c r="DSE248" s="22"/>
      <c r="DSF248" s="22"/>
      <c r="DSG248" s="22"/>
      <c r="DSH248" s="22"/>
      <c r="DSI248" s="22"/>
      <c r="DSJ248" s="22"/>
      <c r="DSK248" s="22"/>
      <c r="DSL248" s="22"/>
      <c r="DSM248" s="22"/>
      <c r="DSN248" s="22"/>
      <c r="DSO248" s="22"/>
      <c r="DSP248" s="22"/>
      <c r="DSQ248" s="22"/>
      <c r="DSR248" s="22"/>
      <c r="DSS248" s="22"/>
      <c r="DST248" s="22"/>
      <c r="DSU248" s="22"/>
      <c r="DSV248" s="22"/>
      <c r="DSW248" s="22"/>
      <c r="DSX248" s="22"/>
      <c r="DSY248" s="22"/>
      <c r="DSZ248" s="22"/>
      <c r="DTA248" s="22"/>
      <c r="DTB248" s="22"/>
      <c r="DTC248" s="22"/>
      <c r="DTD248" s="22"/>
      <c r="DTE248" s="22"/>
      <c r="DTF248" s="22"/>
      <c r="DTG248" s="22"/>
      <c r="DTH248" s="22"/>
      <c r="DTI248" s="22"/>
      <c r="DTJ248" s="22"/>
      <c r="DTK248" s="22"/>
      <c r="DTL248" s="22"/>
      <c r="DTM248" s="22"/>
      <c r="DTN248" s="22"/>
      <c r="DTO248" s="22"/>
      <c r="DTP248" s="22"/>
      <c r="DTQ248" s="22"/>
      <c r="DTR248" s="22"/>
      <c r="DTS248" s="22"/>
      <c r="DTT248" s="22"/>
      <c r="DTU248" s="22"/>
      <c r="DTV248" s="22"/>
      <c r="DTW248" s="22"/>
      <c r="DTX248" s="22"/>
      <c r="DTY248" s="22"/>
      <c r="DTZ248" s="22"/>
      <c r="DUA248" s="22"/>
      <c r="DUB248" s="22"/>
      <c r="DUC248" s="22"/>
      <c r="DUD248" s="22"/>
      <c r="DUE248" s="22"/>
      <c r="DUF248" s="22"/>
      <c r="DUG248" s="22"/>
      <c r="DUH248" s="22"/>
      <c r="DUI248" s="22"/>
      <c r="DUJ248" s="22"/>
      <c r="DUK248" s="22"/>
      <c r="DUL248" s="22"/>
      <c r="DUM248" s="22"/>
      <c r="DUN248" s="22"/>
      <c r="DUO248" s="22"/>
      <c r="DUP248" s="22"/>
      <c r="DUQ248" s="22"/>
      <c r="DUR248" s="22"/>
      <c r="DUS248" s="22"/>
      <c r="DUT248" s="22"/>
      <c r="DUU248" s="22"/>
      <c r="DUV248" s="22"/>
      <c r="DUW248" s="22"/>
      <c r="DUX248" s="22"/>
      <c r="DUY248" s="22"/>
      <c r="DUZ248" s="22"/>
      <c r="DVA248" s="22"/>
      <c r="DVB248" s="22"/>
      <c r="DVC248" s="22"/>
      <c r="DVD248" s="22"/>
      <c r="DVE248" s="22"/>
      <c r="DVF248" s="22"/>
      <c r="DVG248" s="22"/>
      <c r="DVH248" s="22"/>
      <c r="DVI248" s="22"/>
      <c r="DVJ248" s="22"/>
      <c r="DVK248" s="22"/>
      <c r="DVL248" s="22"/>
      <c r="DVM248" s="22"/>
      <c r="DVN248" s="22"/>
      <c r="DVO248" s="22"/>
      <c r="DVP248" s="22"/>
      <c r="DVQ248" s="22"/>
      <c r="DVR248" s="22"/>
      <c r="DVS248" s="22"/>
      <c r="DVT248" s="22"/>
      <c r="DVU248" s="22"/>
      <c r="DVV248" s="22"/>
      <c r="DVW248" s="22"/>
      <c r="DVX248" s="22"/>
      <c r="DVY248" s="22"/>
      <c r="DVZ248" s="22"/>
      <c r="DWA248" s="22"/>
      <c r="DWB248" s="22"/>
      <c r="DWC248" s="22"/>
      <c r="DWD248" s="22"/>
      <c r="DWE248" s="22"/>
      <c r="DWF248" s="22"/>
      <c r="DWG248" s="22"/>
      <c r="DWH248" s="22"/>
      <c r="DWI248" s="22"/>
      <c r="DWJ248" s="22"/>
      <c r="DWK248" s="22"/>
      <c r="DWL248" s="22"/>
      <c r="DWM248" s="22"/>
      <c r="DWN248" s="22"/>
      <c r="DWO248" s="22"/>
      <c r="DWP248" s="22"/>
      <c r="DWQ248" s="22"/>
      <c r="DWR248" s="22"/>
      <c r="DWS248" s="22"/>
      <c r="DWT248" s="22"/>
      <c r="DWU248" s="22"/>
      <c r="DWV248" s="22"/>
      <c r="DWW248" s="22"/>
      <c r="DWX248" s="22"/>
      <c r="DWY248" s="22"/>
      <c r="DWZ248" s="22"/>
      <c r="DXA248" s="22"/>
      <c r="DXB248" s="22"/>
      <c r="DXC248" s="22"/>
      <c r="DXD248" s="22"/>
      <c r="DXE248" s="22"/>
      <c r="DXF248" s="22"/>
      <c r="DXG248" s="22"/>
      <c r="DXH248" s="22"/>
      <c r="DXI248" s="22"/>
      <c r="DXJ248" s="22"/>
      <c r="DXK248" s="22"/>
      <c r="DXL248" s="22"/>
      <c r="DXM248" s="22"/>
      <c r="DXN248" s="22"/>
      <c r="DXO248" s="22"/>
      <c r="DXP248" s="22"/>
      <c r="DXQ248" s="22"/>
      <c r="DXR248" s="22"/>
      <c r="DXS248" s="22"/>
      <c r="DXT248" s="22"/>
      <c r="DXU248" s="22"/>
      <c r="DXV248" s="22"/>
      <c r="DXW248" s="22"/>
      <c r="DXX248" s="22"/>
      <c r="DXY248" s="22"/>
      <c r="DXZ248" s="22"/>
      <c r="DYA248" s="22"/>
      <c r="DYB248" s="22"/>
      <c r="DYC248" s="22"/>
      <c r="DYD248" s="22"/>
      <c r="DYE248" s="22"/>
      <c r="DYF248" s="22"/>
      <c r="DYG248" s="22"/>
      <c r="DYH248" s="22"/>
      <c r="DYI248" s="22"/>
      <c r="DYJ248" s="22"/>
      <c r="DYK248" s="22"/>
      <c r="DYL248" s="22"/>
      <c r="DYM248" s="22"/>
      <c r="DYN248" s="22"/>
      <c r="DYO248" s="22"/>
      <c r="DYP248" s="22"/>
      <c r="DYQ248" s="22"/>
      <c r="DYR248" s="22"/>
      <c r="DYS248" s="22"/>
      <c r="DYT248" s="22"/>
      <c r="DYU248" s="22"/>
      <c r="DYV248" s="22"/>
      <c r="DYW248" s="22"/>
      <c r="DYX248" s="22"/>
      <c r="DYY248" s="22"/>
      <c r="DYZ248" s="22"/>
      <c r="DZA248" s="22"/>
      <c r="DZB248" s="22"/>
      <c r="DZC248" s="22"/>
      <c r="DZD248" s="22"/>
      <c r="DZE248" s="22"/>
      <c r="DZF248" s="22"/>
      <c r="DZG248" s="22"/>
      <c r="DZH248" s="22"/>
      <c r="DZI248" s="22"/>
      <c r="DZJ248" s="22"/>
      <c r="DZK248" s="22"/>
      <c r="DZL248" s="22"/>
      <c r="DZM248" s="22"/>
      <c r="DZN248" s="22"/>
      <c r="DZO248" s="22"/>
      <c r="DZP248" s="22"/>
      <c r="DZQ248" s="22"/>
      <c r="DZR248" s="22"/>
      <c r="DZS248" s="22"/>
      <c r="DZT248" s="22"/>
      <c r="DZU248" s="22"/>
      <c r="DZV248" s="22"/>
      <c r="DZW248" s="22"/>
      <c r="DZX248" s="22"/>
      <c r="DZY248" s="22"/>
      <c r="DZZ248" s="22"/>
      <c r="EAA248" s="22"/>
      <c r="EAB248" s="22"/>
      <c r="EAC248" s="22"/>
      <c r="EAD248" s="22"/>
      <c r="EAE248" s="22"/>
      <c r="EAF248" s="22"/>
      <c r="EAG248" s="22"/>
      <c r="EAH248" s="22"/>
      <c r="EAI248" s="22"/>
      <c r="EAJ248" s="22"/>
      <c r="EAK248" s="22"/>
      <c r="EAL248" s="22"/>
      <c r="EAM248" s="22"/>
      <c r="EAN248" s="22"/>
      <c r="EAO248" s="22"/>
      <c r="EAP248" s="22"/>
      <c r="EAQ248" s="22"/>
      <c r="EAR248" s="22"/>
      <c r="EAS248" s="22"/>
      <c r="EAT248" s="22"/>
      <c r="EAU248" s="22"/>
      <c r="EAV248" s="22"/>
      <c r="EAW248" s="22"/>
      <c r="EAX248" s="22"/>
      <c r="EAY248" s="22"/>
      <c r="EAZ248" s="22"/>
      <c r="EBA248" s="22"/>
      <c r="EBB248" s="22"/>
      <c r="EBC248" s="22"/>
      <c r="EBD248" s="22"/>
      <c r="EBE248" s="22"/>
      <c r="EBF248" s="22"/>
      <c r="EBG248" s="22"/>
      <c r="EBH248" s="22"/>
      <c r="EBI248" s="22"/>
      <c r="EBJ248" s="22"/>
      <c r="EBK248" s="22"/>
      <c r="EBL248" s="22"/>
      <c r="EBM248" s="22"/>
      <c r="EBN248" s="22"/>
      <c r="EBO248" s="22"/>
      <c r="EBP248" s="22"/>
      <c r="EBQ248" s="22"/>
      <c r="EBR248" s="22"/>
      <c r="EBS248" s="22"/>
      <c r="EBT248" s="22"/>
      <c r="EBU248" s="22"/>
      <c r="EBV248" s="22"/>
      <c r="EBW248" s="22"/>
      <c r="EBX248" s="22"/>
      <c r="EBY248" s="22"/>
      <c r="EBZ248" s="22"/>
      <c r="ECA248" s="22"/>
      <c r="ECB248" s="22"/>
      <c r="ECC248" s="22"/>
      <c r="ECD248" s="22"/>
      <c r="ECE248" s="22"/>
      <c r="ECF248" s="22"/>
      <c r="ECG248" s="22"/>
      <c r="ECH248" s="22"/>
      <c r="ECI248" s="22"/>
      <c r="ECJ248" s="22"/>
      <c r="ECK248" s="22"/>
      <c r="ECL248" s="22"/>
      <c r="ECM248" s="22"/>
      <c r="ECN248" s="22"/>
      <c r="ECO248" s="22"/>
      <c r="ECP248" s="22"/>
      <c r="ECQ248" s="22"/>
      <c r="ECR248" s="22"/>
      <c r="ECS248" s="22"/>
      <c r="ECT248" s="22"/>
      <c r="ECU248" s="22"/>
      <c r="ECV248" s="22"/>
      <c r="ECW248" s="22"/>
      <c r="ECX248" s="22"/>
      <c r="ECY248" s="22"/>
      <c r="ECZ248" s="22"/>
      <c r="EDA248" s="22"/>
      <c r="EDB248" s="22"/>
      <c r="EDC248" s="22"/>
      <c r="EDD248" s="22"/>
      <c r="EDE248" s="22"/>
      <c r="EDF248" s="22"/>
      <c r="EDG248" s="22"/>
      <c r="EDH248" s="22"/>
      <c r="EDI248" s="22"/>
      <c r="EDJ248" s="22"/>
      <c r="EDK248" s="22"/>
      <c r="EDL248" s="22"/>
      <c r="EDM248" s="22"/>
      <c r="EDN248" s="22"/>
      <c r="EDO248" s="22"/>
      <c r="EDP248" s="22"/>
      <c r="EDQ248" s="22"/>
      <c r="EDR248" s="22"/>
      <c r="EDS248" s="22"/>
      <c r="EDT248" s="22"/>
      <c r="EDU248" s="22"/>
      <c r="EDV248" s="22"/>
      <c r="EDW248" s="22"/>
      <c r="EDX248" s="22"/>
      <c r="EDY248" s="22"/>
      <c r="EDZ248" s="22"/>
      <c r="EEA248" s="22"/>
      <c r="EEB248" s="22"/>
      <c r="EEC248" s="22"/>
      <c r="EED248" s="22"/>
      <c r="EEE248" s="22"/>
      <c r="EEF248" s="22"/>
      <c r="EEG248" s="22"/>
      <c r="EEH248" s="22"/>
      <c r="EEI248" s="22"/>
      <c r="EEJ248" s="22"/>
      <c r="EEK248" s="22"/>
      <c r="EEL248" s="22"/>
      <c r="EEM248" s="22"/>
      <c r="EEN248" s="22"/>
      <c r="EEO248" s="22"/>
      <c r="EEP248" s="22"/>
      <c r="EEQ248" s="22"/>
      <c r="EER248" s="22"/>
      <c r="EES248" s="22"/>
      <c r="EET248" s="22"/>
      <c r="EEU248" s="22"/>
      <c r="EEV248" s="22"/>
      <c r="EEW248" s="22"/>
      <c r="EEX248" s="22"/>
      <c r="EEY248" s="22"/>
      <c r="EEZ248" s="22"/>
      <c r="EFA248" s="22"/>
      <c r="EFB248" s="22"/>
      <c r="EFC248" s="22"/>
      <c r="EFD248" s="22"/>
      <c r="EFE248" s="22"/>
      <c r="EFF248" s="22"/>
      <c r="EFG248" s="22"/>
      <c r="EFH248" s="22"/>
      <c r="EFI248" s="22"/>
      <c r="EFJ248" s="22"/>
      <c r="EFK248" s="22"/>
      <c r="EFL248" s="22"/>
      <c r="EFM248" s="22"/>
      <c r="EFN248" s="22"/>
      <c r="EFO248" s="22"/>
      <c r="EFP248" s="22"/>
      <c r="EFQ248" s="22"/>
      <c r="EFR248" s="22"/>
      <c r="EFS248" s="22"/>
      <c r="EFT248" s="22"/>
      <c r="EFU248" s="22"/>
      <c r="EFV248" s="22"/>
      <c r="EFW248" s="22"/>
      <c r="EFX248" s="22"/>
      <c r="EFY248" s="22"/>
      <c r="EFZ248" s="22"/>
      <c r="EGA248" s="22"/>
      <c r="EGB248" s="22"/>
      <c r="EGC248" s="22"/>
      <c r="EGD248" s="22"/>
      <c r="EGE248" s="22"/>
      <c r="EGF248" s="22"/>
      <c r="EGG248" s="22"/>
      <c r="EGH248" s="22"/>
      <c r="EGI248" s="22"/>
      <c r="EGJ248" s="22"/>
      <c r="EGK248" s="22"/>
      <c r="EGL248" s="22"/>
      <c r="EGM248" s="22"/>
      <c r="EGN248" s="22"/>
      <c r="EGO248" s="22"/>
      <c r="EGP248" s="22"/>
      <c r="EGQ248" s="22"/>
      <c r="EGR248" s="22"/>
      <c r="EGS248" s="22"/>
      <c r="EGT248" s="22"/>
      <c r="EGU248" s="22"/>
      <c r="EGV248" s="22"/>
      <c r="EGW248" s="22"/>
      <c r="EGX248" s="22"/>
      <c r="EGY248" s="22"/>
      <c r="EGZ248" s="22"/>
      <c r="EHA248" s="22"/>
      <c r="EHB248" s="22"/>
      <c r="EHC248" s="22"/>
      <c r="EHD248" s="22"/>
      <c r="EHE248" s="22"/>
      <c r="EHF248" s="22"/>
      <c r="EHG248" s="22"/>
      <c r="EHH248" s="22"/>
      <c r="EHI248" s="22"/>
      <c r="EHJ248" s="22"/>
      <c r="EHK248" s="22"/>
      <c r="EHL248" s="22"/>
      <c r="EHM248" s="22"/>
      <c r="EHN248" s="22"/>
      <c r="EHO248" s="22"/>
      <c r="EHP248" s="22"/>
      <c r="EHQ248" s="22"/>
      <c r="EHR248" s="22"/>
      <c r="EHS248" s="22"/>
      <c r="EHT248" s="22"/>
      <c r="EHU248" s="22"/>
      <c r="EHV248" s="22"/>
      <c r="EHW248" s="22"/>
      <c r="EHX248" s="22"/>
      <c r="EHY248" s="22"/>
      <c r="EHZ248" s="22"/>
      <c r="EIA248" s="22"/>
      <c r="EIB248" s="22"/>
      <c r="EIC248" s="22"/>
      <c r="EID248" s="22"/>
      <c r="EIE248" s="22"/>
      <c r="EIF248" s="22"/>
      <c r="EIG248" s="22"/>
      <c r="EIH248" s="22"/>
      <c r="EII248" s="22"/>
      <c r="EIJ248" s="22"/>
      <c r="EIK248" s="22"/>
      <c r="EIL248" s="22"/>
      <c r="EIM248" s="22"/>
      <c r="EIN248" s="22"/>
      <c r="EIO248" s="22"/>
      <c r="EIP248" s="22"/>
      <c r="EIQ248" s="22"/>
      <c r="EIR248" s="22"/>
      <c r="EIS248" s="22"/>
      <c r="EIT248" s="22"/>
      <c r="EIU248" s="22"/>
      <c r="EIV248" s="22"/>
      <c r="EIW248" s="22"/>
      <c r="EIX248" s="22"/>
      <c r="EIY248" s="22"/>
      <c r="EIZ248" s="22"/>
      <c r="EJA248" s="22"/>
      <c r="EJB248" s="22"/>
      <c r="EJC248" s="22"/>
      <c r="EJD248" s="22"/>
      <c r="EJE248" s="22"/>
      <c r="EJF248" s="22"/>
      <c r="EJG248" s="22"/>
      <c r="EJH248" s="22"/>
      <c r="EJI248" s="22"/>
      <c r="EJJ248" s="22"/>
      <c r="EJK248" s="22"/>
      <c r="EJL248" s="22"/>
      <c r="EJM248" s="22"/>
      <c r="EJN248" s="22"/>
      <c r="EJO248" s="22"/>
      <c r="EJP248" s="22"/>
      <c r="EJQ248" s="22"/>
      <c r="EJR248" s="22"/>
      <c r="EJS248" s="22"/>
      <c r="EJT248" s="22"/>
      <c r="EJU248" s="22"/>
      <c r="EJV248" s="22"/>
      <c r="EJW248" s="22"/>
      <c r="EJX248" s="22"/>
      <c r="EJY248" s="22"/>
      <c r="EJZ248" s="22"/>
      <c r="EKA248" s="22"/>
      <c r="EKB248" s="22"/>
      <c r="EKC248" s="22"/>
      <c r="EKD248" s="22"/>
      <c r="EKE248" s="22"/>
      <c r="EKF248" s="22"/>
      <c r="EKG248" s="22"/>
      <c r="EKH248" s="22"/>
      <c r="EKI248" s="22"/>
      <c r="EKJ248" s="22"/>
      <c r="EKK248" s="22"/>
      <c r="EKL248" s="22"/>
      <c r="EKM248" s="22"/>
      <c r="EKN248" s="22"/>
      <c r="EKO248" s="22"/>
      <c r="EKP248" s="22"/>
      <c r="EKQ248" s="22"/>
      <c r="EKR248" s="22"/>
      <c r="EKS248" s="22"/>
      <c r="EKT248" s="22"/>
      <c r="EKU248" s="22"/>
      <c r="EKV248" s="22"/>
      <c r="EKW248" s="22"/>
      <c r="EKX248" s="22"/>
      <c r="EKY248" s="22"/>
      <c r="EKZ248" s="22"/>
      <c r="ELA248" s="22"/>
      <c r="ELB248" s="22"/>
      <c r="ELC248" s="22"/>
      <c r="ELD248" s="22"/>
      <c r="ELE248" s="22"/>
      <c r="ELF248" s="22"/>
      <c r="ELG248" s="22"/>
      <c r="ELH248" s="22"/>
      <c r="ELI248" s="22"/>
      <c r="ELJ248" s="22"/>
      <c r="ELK248" s="22"/>
      <c r="ELL248" s="22"/>
      <c r="ELM248" s="22"/>
      <c r="ELN248" s="22"/>
      <c r="ELO248" s="22"/>
      <c r="ELP248" s="22"/>
      <c r="ELQ248" s="22"/>
      <c r="ELR248" s="22"/>
      <c r="ELS248" s="22"/>
      <c r="ELT248" s="22"/>
      <c r="ELU248" s="22"/>
      <c r="ELV248" s="22"/>
      <c r="ELW248" s="22"/>
      <c r="ELX248" s="22"/>
      <c r="ELY248" s="22"/>
      <c r="ELZ248" s="22"/>
      <c r="EMA248" s="22"/>
      <c r="EMB248" s="22"/>
      <c r="EMC248" s="22"/>
      <c r="EMD248" s="22"/>
      <c r="EME248" s="22"/>
      <c r="EMF248" s="22"/>
      <c r="EMG248" s="22"/>
      <c r="EMH248" s="22"/>
      <c r="EMI248" s="22"/>
      <c r="EMJ248" s="22"/>
      <c r="EMK248" s="22"/>
      <c r="EML248" s="22"/>
      <c r="EMM248" s="22"/>
      <c r="EMN248" s="22"/>
      <c r="EMO248" s="22"/>
      <c r="EMP248" s="22"/>
      <c r="EMQ248" s="22"/>
      <c r="EMR248" s="22"/>
      <c r="EMS248" s="22"/>
      <c r="EMT248" s="22"/>
      <c r="EMU248" s="22"/>
      <c r="EMV248" s="22"/>
      <c r="EMW248" s="22"/>
      <c r="EMX248" s="22"/>
      <c r="EMY248" s="22"/>
      <c r="EMZ248" s="22"/>
      <c r="ENA248" s="22"/>
      <c r="ENB248" s="22"/>
      <c r="ENC248" s="22"/>
      <c r="END248" s="22"/>
      <c r="ENE248" s="22"/>
      <c r="ENF248" s="22"/>
      <c r="ENG248" s="22"/>
      <c r="ENH248" s="22"/>
      <c r="ENI248" s="22"/>
      <c r="ENJ248" s="22"/>
      <c r="ENK248" s="22"/>
      <c r="ENL248" s="22"/>
      <c r="ENM248" s="22"/>
      <c r="ENN248" s="22"/>
      <c r="ENO248" s="22"/>
      <c r="ENP248" s="22"/>
      <c r="ENQ248" s="22"/>
      <c r="ENR248" s="22"/>
      <c r="ENS248" s="22"/>
      <c r="ENT248" s="22"/>
      <c r="ENU248" s="22"/>
      <c r="ENV248" s="22"/>
      <c r="ENW248" s="22"/>
      <c r="ENX248" s="22"/>
      <c r="ENY248" s="22"/>
      <c r="ENZ248" s="22"/>
      <c r="EOA248" s="22"/>
      <c r="EOB248" s="22"/>
      <c r="EOC248" s="22"/>
      <c r="EOD248" s="22"/>
      <c r="EOE248" s="22"/>
      <c r="EOF248" s="22"/>
      <c r="EOG248" s="22"/>
      <c r="EOH248" s="22"/>
      <c r="EOI248" s="22"/>
      <c r="EOJ248" s="22"/>
      <c r="EOK248" s="22"/>
      <c r="EOL248" s="22"/>
      <c r="EOM248" s="22"/>
      <c r="EON248" s="22"/>
      <c r="EOO248" s="22"/>
      <c r="EOP248" s="22"/>
      <c r="EOQ248" s="22"/>
      <c r="EOR248" s="22"/>
      <c r="EOS248" s="22"/>
      <c r="EOT248" s="22"/>
      <c r="EOU248" s="22"/>
      <c r="EOV248" s="22"/>
      <c r="EOW248" s="22"/>
      <c r="EOX248" s="22"/>
      <c r="EOY248" s="22"/>
      <c r="EOZ248" s="22"/>
      <c r="EPA248" s="22"/>
      <c r="EPB248" s="22"/>
      <c r="EPC248" s="22"/>
      <c r="EPD248" s="22"/>
      <c r="EPE248" s="22"/>
      <c r="EPF248" s="22"/>
      <c r="EPG248" s="22"/>
      <c r="EPH248" s="22"/>
      <c r="EPI248" s="22"/>
      <c r="EPJ248" s="22"/>
      <c r="EPK248" s="22"/>
      <c r="EPL248" s="22"/>
      <c r="EPM248" s="22"/>
      <c r="EPN248" s="22"/>
      <c r="EPO248" s="22"/>
      <c r="EPP248" s="22"/>
      <c r="EPQ248" s="22"/>
      <c r="EPR248" s="22"/>
      <c r="EPS248" s="22"/>
      <c r="EPT248" s="22"/>
      <c r="EPU248" s="22"/>
      <c r="EPV248" s="22"/>
      <c r="EPW248" s="22"/>
      <c r="EPX248" s="22"/>
      <c r="EPY248" s="22"/>
      <c r="EPZ248" s="22"/>
      <c r="EQA248" s="22"/>
      <c r="EQB248" s="22"/>
      <c r="EQC248" s="22"/>
      <c r="EQD248" s="22"/>
      <c r="EQE248" s="22"/>
      <c r="EQF248" s="22"/>
      <c r="EQG248" s="22"/>
      <c r="EQH248" s="22"/>
      <c r="EQI248" s="22"/>
      <c r="EQJ248" s="22"/>
      <c r="EQK248" s="22"/>
      <c r="EQL248" s="22"/>
      <c r="EQM248" s="22"/>
      <c r="EQN248" s="22"/>
      <c r="EQO248" s="22"/>
      <c r="EQP248" s="22"/>
      <c r="EQQ248" s="22"/>
      <c r="EQR248" s="22"/>
      <c r="EQS248" s="22"/>
      <c r="EQT248" s="22"/>
      <c r="EQU248" s="22"/>
      <c r="EQV248" s="22"/>
      <c r="EQW248" s="22"/>
      <c r="EQX248" s="22"/>
      <c r="EQY248" s="22"/>
      <c r="EQZ248" s="22"/>
      <c r="ERA248" s="22"/>
      <c r="ERB248" s="22"/>
      <c r="ERC248" s="22"/>
      <c r="ERD248" s="22"/>
      <c r="ERE248" s="22"/>
      <c r="ERF248" s="22"/>
      <c r="ERG248" s="22"/>
      <c r="ERH248" s="22"/>
      <c r="ERI248" s="22"/>
      <c r="ERJ248" s="22"/>
      <c r="ERK248" s="22"/>
      <c r="ERL248" s="22"/>
      <c r="ERM248" s="22"/>
      <c r="ERN248" s="22"/>
      <c r="ERO248" s="22"/>
      <c r="ERP248" s="22"/>
      <c r="ERQ248" s="22"/>
      <c r="ERR248" s="22"/>
      <c r="ERS248" s="22"/>
      <c r="ERT248" s="22"/>
      <c r="ERU248" s="22"/>
      <c r="ERV248" s="22"/>
      <c r="ERW248" s="22"/>
      <c r="ERX248" s="22"/>
      <c r="ERY248" s="22"/>
      <c r="ERZ248" s="22"/>
      <c r="ESA248" s="22"/>
      <c r="ESB248" s="22"/>
      <c r="ESC248" s="22"/>
      <c r="ESD248" s="22"/>
      <c r="ESE248" s="22"/>
      <c r="ESF248" s="22"/>
      <c r="ESG248" s="22"/>
      <c r="ESH248" s="22"/>
      <c r="ESI248" s="22"/>
      <c r="ESJ248" s="22"/>
      <c r="ESK248" s="22"/>
      <c r="ESL248" s="22"/>
      <c r="ESM248" s="22"/>
      <c r="ESN248" s="22"/>
      <c r="ESO248" s="22"/>
      <c r="ESP248" s="22"/>
      <c r="ESQ248" s="22"/>
      <c r="ESR248" s="22"/>
      <c r="ESS248" s="22"/>
      <c r="EST248" s="22"/>
      <c r="ESU248" s="22"/>
      <c r="ESV248" s="22"/>
      <c r="ESW248" s="22"/>
      <c r="ESX248" s="22"/>
      <c r="ESY248" s="22"/>
      <c r="ESZ248" s="22"/>
      <c r="ETA248" s="22"/>
      <c r="ETB248" s="22"/>
      <c r="ETC248" s="22"/>
      <c r="ETD248" s="22"/>
      <c r="ETE248" s="22"/>
      <c r="ETF248" s="22"/>
      <c r="ETG248" s="22"/>
      <c r="ETH248" s="22"/>
      <c r="ETI248" s="22"/>
      <c r="ETJ248" s="22"/>
      <c r="ETK248" s="22"/>
      <c r="ETL248" s="22"/>
      <c r="ETM248" s="22"/>
      <c r="ETN248" s="22"/>
      <c r="ETO248" s="22"/>
      <c r="ETP248" s="22"/>
      <c r="ETQ248" s="22"/>
      <c r="ETR248" s="22"/>
      <c r="ETS248" s="22"/>
      <c r="ETT248" s="22"/>
      <c r="ETU248" s="22"/>
      <c r="ETV248" s="22"/>
      <c r="ETW248" s="22"/>
      <c r="ETX248" s="22"/>
      <c r="ETY248" s="22"/>
      <c r="ETZ248" s="22"/>
      <c r="EUA248" s="22"/>
      <c r="EUB248" s="22"/>
      <c r="EUC248" s="22"/>
      <c r="EUD248" s="22"/>
      <c r="EUE248" s="22"/>
      <c r="EUF248" s="22"/>
      <c r="EUG248" s="22"/>
      <c r="EUH248" s="22"/>
      <c r="EUI248" s="22"/>
      <c r="EUJ248" s="22"/>
      <c r="EUK248" s="22"/>
      <c r="EUL248" s="22"/>
      <c r="EUM248" s="22"/>
      <c r="EUN248" s="22"/>
      <c r="EUO248" s="22"/>
      <c r="EUP248" s="22"/>
      <c r="EUQ248" s="22"/>
      <c r="EUR248" s="22"/>
      <c r="EUS248" s="22"/>
      <c r="EUT248" s="22"/>
      <c r="EUU248" s="22"/>
      <c r="EUV248" s="22"/>
      <c r="EUW248" s="22"/>
      <c r="EUX248" s="22"/>
      <c r="EUY248" s="22"/>
      <c r="EUZ248" s="22"/>
      <c r="EVA248" s="22"/>
      <c r="EVB248" s="22"/>
      <c r="EVC248" s="22"/>
      <c r="EVD248" s="22"/>
      <c r="EVE248" s="22"/>
      <c r="EVF248" s="22"/>
      <c r="EVG248" s="22"/>
      <c r="EVH248" s="22"/>
      <c r="EVI248" s="22"/>
      <c r="EVJ248" s="22"/>
      <c r="EVK248" s="22"/>
      <c r="EVL248" s="22"/>
      <c r="EVM248" s="22"/>
      <c r="EVN248" s="22"/>
      <c r="EVO248" s="22"/>
      <c r="EVP248" s="22"/>
      <c r="EVQ248" s="22"/>
      <c r="EVR248" s="22"/>
      <c r="EVS248" s="22"/>
      <c r="EVT248" s="22"/>
      <c r="EVU248" s="22"/>
      <c r="EVV248" s="22"/>
      <c r="EVW248" s="22"/>
      <c r="EVX248" s="22"/>
      <c r="EVY248" s="22"/>
      <c r="EVZ248" s="22"/>
      <c r="EWA248" s="22"/>
      <c r="EWB248" s="22"/>
      <c r="EWC248" s="22"/>
      <c r="EWD248" s="22"/>
      <c r="EWE248" s="22"/>
      <c r="EWF248" s="22"/>
      <c r="EWG248" s="22"/>
      <c r="EWH248" s="22"/>
      <c r="EWI248" s="22"/>
      <c r="EWJ248" s="22"/>
      <c r="EWK248" s="22"/>
      <c r="EWL248" s="22"/>
      <c r="EWM248" s="22"/>
      <c r="EWN248" s="22"/>
      <c r="EWO248" s="22"/>
      <c r="EWP248" s="22"/>
      <c r="EWQ248" s="22"/>
      <c r="EWR248" s="22"/>
      <c r="EWS248" s="22"/>
      <c r="EWT248" s="22"/>
      <c r="EWU248" s="22"/>
      <c r="EWV248" s="22"/>
      <c r="EWW248" s="22"/>
      <c r="EWX248" s="22"/>
      <c r="EWY248" s="22"/>
      <c r="EWZ248" s="22"/>
      <c r="EXA248" s="22"/>
      <c r="EXB248" s="22"/>
      <c r="EXC248" s="22"/>
      <c r="EXD248" s="22"/>
      <c r="EXE248" s="22"/>
      <c r="EXF248" s="22"/>
      <c r="EXG248" s="22"/>
      <c r="EXH248" s="22"/>
      <c r="EXI248" s="22"/>
      <c r="EXJ248" s="22"/>
      <c r="EXK248" s="22"/>
      <c r="EXL248" s="22"/>
      <c r="EXM248" s="22"/>
      <c r="EXN248" s="22"/>
      <c r="EXO248" s="22"/>
      <c r="EXP248" s="22"/>
      <c r="EXQ248" s="22"/>
      <c r="EXR248" s="22"/>
      <c r="EXS248" s="22"/>
      <c r="EXT248" s="22"/>
      <c r="EXU248" s="22"/>
      <c r="EXV248" s="22"/>
      <c r="EXW248" s="22"/>
      <c r="EXX248" s="22"/>
      <c r="EXY248" s="22"/>
      <c r="EXZ248" s="22"/>
      <c r="EYA248" s="22"/>
      <c r="EYB248" s="22"/>
      <c r="EYC248" s="22"/>
      <c r="EYD248" s="22"/>
      <c r="EYE248" s="22"/>
      <c r="EYF248" s="22"/>
      <c r="EYG248" s="22"/>
      <c r="EYH248" s="22"/>
      <c r="EYI248" s="22"/>
      <c r="EYJ248" s="22"/>
      <c r="EYK248" s="22"/>
      <c r="EYL248" s="22"/>
      <c r="EYM248" s="22"/>
      <c r="EYN248" s="22"/>
      <c r="EYO248" s="22"/>
      <c r="EYP248" s="22"/>
      <c r="EYQ248" s="22"/>
      <c r="EYR248" s="22"/>
      <c r="EYS248" s="22"/>
      <c r="EYT248" s="22"/>
      <c r="EYU248" s="22"/>
      <c r="EYV248" s="22"/>
      <c r="EYW248" s="22"/>
      <c r="EYX248" s="22"/>
      <c r="EYY248" s="22"/>
      <c r="EYZ248" s="22"/>
      <c r="EZA248" s="22"/>
      <c r="EZB248" s="22"/>
      <c r="EZC248" s="22"/>
      <c r="EZD248" s="22"/>
      <c r="EZE248" s="22"/>
      <c r="EZF248" s="22"/>
      <c r="EZG248" s="22"/>
      <c r="EZH248" s="22"/>
      <c r="EZI248" s="22"/>
      <c r="EZJ248" s="22"/>
      <c r="EZK248" s="22"/>
      <c r="EZL248" s="22"/>
      <c r="EZM248" s="22"/>
      <c r="EZN248" s="22"/>
      <c r="EZO248" s="22"/>
      <c r="EZP248" s="22"/>
      <c r="EZQ248" s="22"/>
      <c r="EZR248" s="22"/>
      <c r="EZS248" s="22"/>
      <c r="EZT248" s="22"/>
      <c r="EZU248" s="22"/>
      <c r="EZV248" s="22"/>
      <c r="EZW248" s="22"/>
      <c r="EZX248" s="22"/>
      <c r="EZY248" s="22"/>
      <c r="EZZ248" s="22"/>
      <c r="FAA248" s="22"/>
      <c r="FAB248" s="22"/>
      <c r="FAC248" s="22"/>
      <c r="FAD248" s="22"/>
      <c r="FAE248" s="22"/>
      <c r="FAF248" s="22"/>
      <c r="FAG248" s="22"/>
      <c r="FAH248" s="22"/>
      <c r="FAI248" s="22"/>
      <c r="FAJ248" s="22"/>
      <c r="FAK248" s="22"/>
      <c r="FAL248" s="22"/>
      <c r="FAM248" s="22"/>
      <c r="FAN248" s="22"/>
      <c r="FAO248" s="22"/>
      <c r="FAP248" s="22"/>
      <c r="FAQ248" s="22"/>
      <c r="FAR248" s="22"/>
      <c r="FAS248" s="22"/>
      <c r="FAT248" s="22"/>
      <c r="FAU248" s="22"/>
      <c r="FAV248" s="22"/>
      <c r="FAW248" s="22"/>
      <c r="FAX248" s="22"/>
      <c r="FAY248" s="22"/>
      <c r="FAZ248" s="22"/>
      <c r="FBA248" s="22"/>
      <c r="FBB248" s="22"/>
      <c r="FBC248" s="22"/>
      <c r="FBD248" s="22"/>
      <c r="FBE248" s="22"/>
      <c r="FBF248" s="22"/>
      <c r="FBG248" s="22"/>
      <c r="FBH248" s="22"/>
      <c r="FBI248" s="22"/>
      <c r="FBJ248" s="22"/>
      <c r="FBK248" s="22"/>
      <c r="FBL248" s="22"/>
      <c r="FBM248" s="22"/>
      <c r="FBN248" s="22"/>
      <c r="FBO248" s="22"/>
      <c r="FBP248" s="22"/>
      <c r="FBQ248" s="22"/>
      <c r="FBR248" s="22"/>
      <c r="FBS248" s="22"/>
      <c r="FBT248" s="22"/>
      <c r="FBU248" s="22"/>
      <c r="FBV248" s="22"/>
      <c r="FBW248" s="22"/>
      <c r="FBX248" s="22"/>
      <c r="FBY248" s="22"/>
      <c r="FBZ248" s="22"/>
      <c r="FCA248" s="22"/>
      <c r="FCB248" s="22"/>
      <c r="FCC248" s="22"/>
      <c r="FCD248" s="22"/>
      <c r="FCE248" s="22"/>
      <c r="FCF248" s="22"/>
      <c r="FCG248" s="22"/>
      <c r="FCH248" s="22"/>
      <c r="FCI248" s="22"/>
      <c r="FCJ248" s="22"/>
      <c r="FCK248" s="22"/>
      <c r="FCL248" s="22"/>
      <c r="FCM248" s="22"/>
      <c r="FCN248" s="22"/>
      <c r="FCO248" s="22"/>
      <c r="FCP248" s="22"/>
      <c r="FCQ248" s="22"/>
      <c r="FCR248" s="22"/>
      <c r="FCS248" s="22"/>
      <c r="FCT248" s="22"/>
      <c r="FCU248" s="22"/>
      <c r="FCV248" s="22"/>
      <c r="FCW248" s="22"/>
      <c r="FCX248" s="22"/>
      <c r="FCY248" s="22"/>
      <c r="FCZ248" s="22"/>
      <c r="FDA248" s="22"/>
      <c r="FDB248" s="22"/>
      <c r="FDC248" s="22"/>
      <c r="FDD248" s="22"/>
      <c r="FDE248" s="22"/>
      <c r="FDF248" s="22"/>
      <c r="FDG248" s="22"/>
      <c r="FDH248" s="22"/>
      <c r="FDI248" s="22"/>
      <c r="FDJ248" s="22"/>
      <c r="FDK248" s="22"/>
      <c r="FDL248" s="22"/>
      <c r="FDM248" s="22"/>
      <c r="FDN248" s="22"/>
      <c r="FDO248" s="22"/>
      <c r="FDP248" s="22"/>
      <c r="FDQ248" s="22"/>
      <c r="FDR248" s="22"/>
      <c r="FDS248" s="22"/>
      <c r="FDT248" s="22"/>
      <c r="FDU248" s="22"/>
      <c r="FDV248" s="22"/>
      <c r="FDW248" s="22"/>
      <c r="FDX248" s="22"/>
      <c r="FDY248" s="22"/>
      <c r="FDZ248" s="22"/>
      <c r="FEA248" s="22"/>
      <c r="FEB248" s="22"/>
      <c r="FEC248" s="22"/>
      <c r="FED248" s="22"/>
      <c r="FEE248" s="22"/>
      <c r="FEF248" s="22"/>
      <c r="FEG248" s="22"/>
      <c r="FEH248" s="22"/>
      <c r="FEI248" s="22"/>
      <c r="FEJ248" s="22"/>
      <c r="FEK248" s="22"/>
      <c r="FEL248" s="22"/>
      <c r="FEM248" s="22"/>
      <c r="FEN248" s="22"/>
      <c r="FEO248" s="22"/>
      <c r="FEP248" s="22"/>
      <c r="FEQ248" s="22"/>
      <c r="FER248" s="22"/>
      <c r="FES248" s="22"/>
      <c r="FET248" s="22"/>
      <c r="FEU248" s="22"/>
      <c r="FEV248" s="22"/>
      <c r="FEW248" s="22"/>
      <c r="FEX248" s="22"/>
      <c r="FEY248" s="22"/>
      <c r="FEZ248" s="22"/>
      <c r="FFA248" s="22"/>
      <c r="FFB248" s="22"/>
      <c r="FFC248" s="22"/>
      <c r="FFD248" s="22"/>
      <c r="FFE248" s="22"/>
      <c r="FFF248" s="22"/>
      <c r="FFG248" s="22"/>
      <c r="FFH248" s="22"/>
      <c r="FFI248" s="22"/>
      <c r="FFJ248" s="22"/>
      <c r="FFK248" s="22"/>
      <c r="FFL248" s="22"/>
      <c r="FFM248" s="22"/>
      <c r="FFN248" s="22"/>
      <c r="FFO248" s="22"/>
      <c r="FFP248" s="22"/>
      <c r="FFQ248" s="22"/>
      <c r="FFR248" s="22"/>
      <c r="FFS248" s="22"/>
      <c r="FFT248" s="22"/>
      <c r="FFU248" s="22"/>
      <c r="FFV248" s="22"/>
      <c r="FFW248" s="22"/>
      <c r="FFX248" s="22"/>
      <c r="FFY248" s="22"/>
      <c r="FFZ248" s="22"/>
      <c r="FGA248" s="22"/>
      <c r="FGB248" s="22"/>
      <c r="FGC248" s="22"/>
      <c r="FGD248" s="22"/>
      <c r="FGE248" s="22"/>
      <c r="FGF248" s="22"/>
      <c r="FGG248" s="22"/>
      <c r="FGH248" s="22"/>
      <c r="FGI248" s="22"/>
      <c r="FGJ248" s="22"/>
      <c r="FGK248" s="22"/>
      <c r="FGL248" s="22"/>
      <c r="FGM248" s="22"/>
      <c r="FGN248" s="22"/>
      <c r="FGO248" s="22"/>
      <c r="FGP248" s="22"/>
      <c r="FGQ248" s="22"/>
      <c r="FGR248" s="22"/>
      <c r="FGS248" s="22"/>
      <c r="FGT248" s="22"/>
      <c r="FGU248" s="22"/>
      <c r="FGV248" s="22"/>
      <c r="FGW248" s="22"/>
      <c r="FGX248" s="22"/>
      <c r="FGY248" s="22"/>
      <c r="FGZ248" s="22"/>
      <c r="FHA248" s="22"/>
      <c r="FHB248" s="22"/>
      <c r="FHC248" s="22"/>
      <c r="FHD248" s="22"/>
      <c r="FHE248" s="22"/>
      <c r="FHF248" s="22"/>
      <c r="FHG248" s="22"/>
      <c r="FHH248" s="22"/>
      <c r="FHI248" s="22"/>
      <c r="FHJ248" s="22"/>
      <c r="FHK248" s="22"/>
      <c r="FHL248" s="22"/>
      <c r="FHM248" s="22"/>
      <c r="FHN248" s="22"/>
      <c r="FHO248" s="22"/>
      <c r="FHP248" s="22"/>
      <c r="FHQ248" s="22"/>
      <c r="FHR248" s="22"/>
      <c r="FHS248" s="22"/>
      <c r="FHT248" s="22"/>
      <c r="FHU248" s="22"/>
      <c r="FHV248" s="22"/>
      <c r="FHW248" s="22"/>
      <c r="FHX248" s="22"/>
      <c r="FHY248" s="22"/>
      <c r="FHZ248" s="22"/>
      <c r="FIA248" s="22"/>
      <c r="FIB248" s="22"/>
      <c r="FIC248" s="22"/>
      <c r="FID248" s="22"/>
      <c r="FIE248" s="22"/>
      <c r="FIF248" s="22"/>
      <c r="FIG248" s="22"/>
      <c r="FIH248" s="22"/>
      <c r="FII248" s="22"/>
      <c r="FIJ248" s="22"/>
      <c r="FIK248" s="22"/>
      <c r="FIL248" s="22"/>
      <c r="FIM248" s="22"/>
      <c r="FIN248" s="22"/>
      <c r="FIO248" s="22"/>
      <c r="FIP248" s="22"/>
      <c r="FIQ248" s="22"/>
      <c r="FIR248" s="22"/>
      <c r="FIS248" s="22"/>
      <c r="FIT248" s="22"/>
      <c r="FIU248" s="22"/>
      <c r="FIV248" s="22"/>
      <c r="FIW248" s="22"/>
      <c r="FIX248" s="22"/>
      <c r="FIY248" s="22"/>
      <c r="FIZ248" s="22"/>
      <c r="FJA248" s="22"/>
      <c r="FJB248" s="22"/>
      <c r="FJC248" s="22"/>
      <c r="FJD248" s="22"/>
      <c r="FJE248" s="22"/>
      <c r="FJF248" s="22"/>
      <c r="FJG248" s="22"/>
      <c r="FJH248" s="22"/>
      <c r="FJI248" s="22"/>
      <c r="FJJ248" s="22"/>
      <c r="FJK248" s="22"/>
      <c r="FJL248" s="22"/>
      <c r="FJM248" s="22"/>
      <c r="FJN248" s="22"/>
      <c r="FJO248" s="22"/>
      <c r="FJP248" s="22"/>
      <c r="FJQ248" s="22"/>
      <c r="FJR248" s="22"/>
      <c r="FJS248" s="22"/>
      <c r="FJT248" s="22"/>
      <c r="FJU248" s="22"/>
      <c r="FJV248" s="22"/>
      <c r="FJW248" s="22"/>
      <c r="FJX248" s="22"/>
      <c r="FJY248" s="22"/>
      <c r="FJZ248" s="22"/>
      <c r="FKA248" s="22"/>
      <c r="FKB248" s="22"/>
      <c r="FKC248" s="22"/>
      <c r="FKD248" s="22"/>
      <c r="FKE248" s="22"/>
      <c r="FKF248" s="22"/>
      <c r="FKG248" s="22"/>
      <c r="FKH248" s="22"/>
      <c r="FKI248" s="22"/>
      <c r="FKJ248" s="22"/>
      <c r="FKK248" s="22"/>
      <c r="FKL248" s="22"/>
      <c r="FKM248" s="22"/>
      <c r="FKN248" s="22"/>
      <c r="FKO248" s="22"/>
      <c r="FKP248" s="22"/>
      <c r="FKQ248" s="22"/>
      <c r="FKR248" s="22"/>
      <c r="FKS248" s="22"/>
      <c r="FKT248" s="22"/>
      <c r="FKU248" s="22"/>
      <c r="FKV248" s="22"/>
      <c r="FKW248" s="22"/>
      <c r="FKX248" s="22"/>
      <c r="FKY248" s="22"/>
      <c r="FKZ248" s="22"/>
      <c r="FLA248" s="22"/>
      <c r="FLB248" s="22"/>
      <c r="FLC248" s="22"/>
      <c r="FLD248" s="22"/>
      <c r="FLE248" s="22"/>
      <c r="FLF248" s="22"/>
      <c r="FLG248" s="22"/>
      <c r="FLH248" s="22"/>
      <c r="FLI248" s="22"/>
      <c r="FLJ248" s="22"/>
      <c r="FLK248" s="22"/>
      <c r="FLL248" s="22"/>
      <c r="FLM248" s="22"/>
      <c r="FLN248" s="22"/>
      <c r="FLO248" s="22"/>
      <c r="FLP248" s="22"/>
      <c r="FLQ248" s="22"/>
      <c r="FLR248" s="22"/>
      <c r="FLS248" s="22"/>
      <c r="FLT248" s="22"/>
      <c r="FLU248" s="22"/>
      <c r="FLV248" s="22"/>
      <c r="FLW248" s="22"/>
      <c r="FLX248" s="22"/>
      <c r="FLY248" s="22"/>
      <c r="FLZ248" s="22"/>
      <c r="FMA248" s="22"/>
      <c r="FMB248" s="22"/>
      <c r="FMC248" s="22"/>
      <c r="FMD248" s="22"/>
      <c r="FME248" s="22"/>
      <c r="FMF248" s="22"/>
      <c r="FMG248" s="22"/>
      <c r="FMH248" s="22"/>
      <c r="FMI248" s="22"/>
      <c r="FMJ248" s="22"/>
      <c r="FMK248" s="22"/>
      <c r="FML248" s="22"/>
      <c r="FMM248" s="22"/>
      <c r="FMN248" s="22"/>
      <c r="FMO248" s="22"/>
      <c r="FMP248" s="22"/>
      <c r="FMQ248" s="22"/>
      <c r="FMR248" s="22"/>
      <c r="FMS248" s="22"/>
      <c r="FMT248" s="22"/>
      <c r="FMU248" s="22"/>
      <c r="FMV248" s="22"/>
      <c r="FMW248" s="22"/>
      <c r="FMX248" s="22"/>
      <c r="FMY248" s="22"/>
      <c r="FMZ248" s="22"/>
      <c r="FNA248" s="22"/>
      <c r="FNB248" s="22"/>
      <c r="FNC248" s="22"/>
      <c r="FND248" s="22"/>
      <c r="FNE248" s="22"/>
      <c r="FNF248" s="22"/>
      <c r="FNG248" s="22"/>
      <c r="FNH248" s="22"/>
      <c r="FNI248" s="22"/>
      <c r="FNJ248" s="22"/>
      <c r="FNK248" s="22"/>
      <c r="FNL248" s="22"/>
      <c r="FNM248" s="22"/>
      <c r="FNN248" s="22"/>
      <c r="FNO248" s="22"/>
      <c r="FNP248" s="22"/>
      <c r="FNQ248" s="22"/>
      <c r="FNR248" s="22"/>
      <c r="FNS248" s="22"/>
      <c r="FNT248" s="22"/>
      <c r="FNU248" s="22"/>
      <c r="FNV248" s="22"/>
      <c r="FNW248" s="22"/>
      <c r="FNX248" s="22"/>
      <c r="FNY248" s="22"/>
      <c r="FNZ248" s="22"/>
      <c r="FOA248" s="22"/>
      <c r="FOB248" s="22"/>
      <c r="FOC248" s="22"/>
      <c r="FOD248" s="22"/>
      <c r="FOE248" s="22"/>
      <c r="FOF248" s="22"/>
      <c r="FOG248" s="22"/>
      <c r="FOH248" s="22"/>
      <c r="FOI248" s="22"/>
      <c r="FOJ248" s="22"/>
      <c r="FOK248" s="22"/>
      <c r="FOL248" s="22"/>
      <c r="FOM248" s="22"/>
      <c r="FON248" s="22"/>
      <c r="FOO248" s="22"/>
      <c r="FOP248" s="22"/>
      <c r="FOQ248" s="22"/>
      <c r="FOR248" s="22"/>
      <c r="FOS248" s="22"/>
      <c r="FOT248" s="22"/>
      <c r="FOU248" s="22"/>
      <c r="FOV248" s="22"/>
      <c r="FOW248" s="22"/>
      <c r="FOX248" s="22"/>
      <c r="FOY248" s="22"/>
      <c r="FOZ248" s="22"/>
      <c r="FPA248" s="22"/>
      <c r="FPB248" s="22"/>
      <c r="FPC248" s="22"/>
      <c r="FPD248" s="22"/>
      <c r="FPE248" s="22"/>
      <c r="FPF248" s="22"/>
      <c r="FPG248" s="22"/>
      <c r="FPH248" s="22"/>
      <c r="FPI248" s="22"/>
      <c r="FPJ248" s="22"/>
      <c r="FPK248" s="22"/>
      <c r="FPL248" s="22"/>
      <c r="FPM248" s="22"/>
      <c r="FPN248" s="22"/>
      <c r="FPO248" s="22"/>
      <c r="FPP248" s="22"/>
      <c r="FPQ248" s="22"/>
      <c r="FPR248" s="22"/>
      <c r="FPS248" s="22"/>
      <c r="FPT248" s="22"/>
      <c r="FPU248" s="22"/>
      <c r="FPV248" s="22"/>
      <c r="FPW248" s="22"/>
      <c r="FPX248" s="22"/>
      <c r="FPY248" s="22"/>
      <c r="FPZ248" s="22"/>
      <c r="FQA248" s="22"/>
      <c r="FQB248" s="22"/>
      <c r="FQC248" s="22"/>
      <c r="FQD248" s="22"/>
      <c r="FQE248" s="22"/>
      <c r="FQF248" s="22"/>
      <c r="FQG248" s="22"/>
      <c r="FQH248" s="22"/>
      <c r="FQI248" s="22"/>
      <c r="FQJ248" s="22"/>
      <c r="FQK248" s="22"/>
      <c r="FQL248" s="22"/>
      <c r="FQM248" s="22"/>
      <c r="FQN248" s="22"/>
      <c r="FQO248" s="22"/>
      <c r="FQP248" s="22"/>
      <c r="FQQ248" s="22"/>
      <c r="FQR248" s="22"/>
      <c r="FQS248" s="22"/>
      <c r="FQT248" s="22"/>
      <c r="FQU248" s="22"/>
      <c r="FQV248" s="22"/>
      <c r="FQW248" s="22"/>
      <c r="FQX248" s="22"/>
      <c r="FQY248" s="22"/>
      <c r="FQZ248" s="22"/>
      <c r="FRA248" s="22"/>
      <c r="FRB248" s="22"/>
      <c r="FRC248" s="22"/>
      <c r="FRD248" s="22"/>
      <c r="FRE248" s="22"/>
      <c r="FRF248" s="22"/>
      <c r="FRG248" s="22"/>
      <c r="FRH248" s="22"/>
      <c r="FRI248" s="22"/>
      <c r="FRJ248" s="22"/>
      <c r="FRK248" s="22"/>
      <c r="FRL248" s="22"/>
      <c r="FRM248" s="22"/>
      <c r="FRN248" s="22"/>
      <c r="FRO248" s="22"/>
      <c r="FRP248" s="22"/>
      <c r="FRQ248" s="22"/>
      <c r="FRR248" s="22"/>
      <c r="FRS248" s="22"/>
      <c r="FRT248" s="22"/>
      <c r="FRU248" s="22"/>
      <c r="FRV248" s="22"/>
      <c r="FRW248" s="22"/>
      <c r="FRX248" s="22"/>
      <c r="FRY248" s="22"/>
      <c r="FRZ248" s="22"/>
      <c r="FSA248" s="22"/>
      <c r="FSB248" s="22"/>
      <c r="FSC248" s="22"/>
      <c r="FSD248" s="22"/>
      <c r="FSE248" s="22"/>
      <c r="FSF248" s="22"/>
      <c r="FSG248" s="22"/>
      <c r="FSH248" s="22"/>
      <c r="FSI248" s="22"/>
      <c r="FSJ248" s="22"/>
      <c r="FSK248" s="22"/>
      <c r="FSL248" s="22"/>
      <c r="FSM248" s="22"/>
      <c r="FSN248" s="22"/>
      <c r="FSO248" s="22"/>
      <c r="FSP248" s="22"/>
      <c r="FSQ248" s="22"/>
      <c r="FSR248" s="22"/>
      <c r="FSS248" s="22"/>
      <c r="FST248" s="22"/>
      <c r="FSU248" s="22"/>
      <c r="FSV248" s="22"/>
      <c r="FSW248" s="22"/>
      <c r="FSX248" s="22"/>
      <c r="FSY248" s="22"/>
      <c r="FSZ248" s="22"/>
      <c r="FTA248" s="22"/>
      <c r="FTB248" s="22"/>
      <c r="FTC248" s="22"/>
      <c r="FTD248" s="22"/>
      <c r="FTE248" s="22"/>
      <c r="FTF248" s="22"/>
      <c r="FTG248" s="22"/>
      <c r="FTH248" s="22"/>
      <c r="FTI248" s="22"/>
      <c r="FTJ248" s="22"/>
      <c r="FTK248" s="22"/>
      <c r="FTL248" s="22"/>
      <c r="FTM248" s="22"/>
      <c r="FTN248" s="22"/>
      <c r="FTO248" s="22"/>
      <c r="FTP248" s="22"/>
      <c r="FTQ248" s="22"/>
      <c r="FTR248" s="22"/>
      <c r="FTS248" s="22"/>
      <c r="FTT248" s="22"/>
      <c r="FTU248" s="22"/>
      <c r="FTV248" s="22"/>
      <c r="FTW248" s="22"/>
      <c r="FTX248" s="22"/>
      <c r="FTY248" s="22"/>
      <c r="FTZ248" s="22"/>
      <c r="FUA248" s="22"/>
      <c r="FUB248" s="22"/>
      <c r="FUC248" s="22"/>
      <c r="FUD248" s="22"/>
      <c r="FUE248" s="22"/>
      <c r="FUF248" s="22"/>
      <c r="FUG248" s="22"/>
      <c r="FUH248" s="22"/>
      <c r="FUI248" s="22"/>
      <c r="FUJ248" s="22"/>
      <c r="FUK248" s="22"/>
      <c r="FUL248" s="22"/>
      <c r="FUM248" s="22"/>
      <c r="FUN248" s="22"/>
      <c r="FUO248" s="22"/>
      <c r="FUP248" s="22"/>
      <c r="FUQ248" s="22"/>
      <c r="FUR248" s="22"/>
      <c r="FUS248" s="22"/>
      <c r="FUT248" s="22"/>
      <c r="FUU248" s="22"/>
      <c r="FUV248" s="22"/>
      <c r="FUW248" s="22"/>
      <c r="FUX248" s="22"/>
      <c r="FUY248" s="22"/>
      <c r="FUZ248" s="22"/>
      <c r="FVA248" s="22"/>
      <c r="FVB248" s="22"/>
      <c r="FVC248" s="22"/>
      <c r="FVD248" s="22"/>
      <c r="FVE248" s="22"/>
      <c r="FVF248" s="22"/>
      <c r="FVG248" s="22"/>
      <c r="FVH248" s="22"/>
      <c r="FVI248" s="22"/>
      <c r="FVJ248" s="22"/>
      <c r="FVK248" s="22"/>
      <c r="FVL248" s="22"/>
      <c r="FVM248" s="22"/>
      <c r="FVN248" s="22"/>
      <c r="FVO248" s="22"/>
      <c r="FVP248" s="22"/>
      <c r="FVQ248" s="22"/>
      <c r="FVR248" s="22"/>
      <c r="FVS248" s="22"/>
      <c r="FVT248" s="22"/>
      <c r="FVU248" s="22"/>
      <c r="FVV248" s="22"/>
      <c r="FVW248" s="22"/>
      <c r="FVX248" s="22"/>
      <c r="FVY248" s="22"/>
      <c r="FVZ248" s="22"/>
      <c r="FWA248" s="22"/>
      <c r="FWB248" s="22"/>
      <c r="FWC248" s="22"/>
      <c r="FWD248" s="22"/>
      <c r="FWE248" s="22"/>
      <c r="FWF248" s="22"/>
      <c r="FWG248" s="22"/>
      <c r="FWH248" s="22"/>
      <c r="FWI248" s="22"/>
      <c r="FWJ248" s="22"/>
      <c r="FWK248" s="22"/>
      <c r="FWL248" s="22"/>
      <c r="FWM248" s="22"/>
      <c r="FWN248" s="22"/>
      <c r="FWO248" s="22"/>
      <c r="FWP248" s="22"/>
      <c r="FWQ248" s="22"/>
      <c r="FWR248" s="22"/>
      <c r="FWS248" s="22"/>
      <c r="FWT248" s="22"/>
      <c r="FWU248" s="22"/>
      <c r="FWV248" s="22"/>
      <c r="FWW248" s="22"/>
      <c r="FWX248" s="22"/>
      <c r="FWY248" s="22"/>
      <c r="FWZ248" s="22"/>
      <c r="FXA248" s="22"/>
      <c r="FXB248" s="22"/>
      <c r="FXC248" s="22"/>
      <c r="FXD248" s="22"/>
      <c r="FXE248" s="22"/>
      <c r="FXF248" s="22"/>
      <c r="FXG248" s="22"/>
      <c r="FXH248" s="22"/>
      <c r="FXI248" s="22"/>
      <c r="FXJ248" s="22"/>
      <c r="FXK248" s="22"/>
      <c r="FXL248" s="22"/>
      <c r="FXM248" s="22"/>
      <c r="FXN248" s="22"/>
      <c r="FXO248" s="22"/>
      <c r="FXP248" s="22"/>
      <c r="FXQ248" s="22"/>
      <c r="FXR248" s="22"/>
      <c r="FXS248" s="22"/>
      <c r="FXT248" s="22"/>
      <c r="FXU248" s="22"/>
      <c r="FXV248" s="22"/>
      <c r="FXW248" s="22"/>
      <c r="FXX248" s="22"/>
      <c r="FXY248" s="22"/>
      <c r="FXZ248" s="22"/>
      <c r="FYA248" s="22"/>
      <c r="FYB248" s="22"/>
      <c r="FYC248" s="22"/>
      <c r="FYD248" s="22"/>
      <c r="FYE248" s="22"/>
      <c r="FYF248" s="22"/>
      <c r="FYG248" s="22"/>
      <c r="FYH248" s="22"/>
      <c r="FYI248" s="22"/>
      <c r="FYJ248" s="22"/>
      <c r="FYK248" s="22"/>
      <c r="FYL248" s="22"/>
      <c r="FYM248" s="22"/>
      <c r="FYN248" s="22"/>
      <c r="FYO248" s="22"/>
      <c r="FYP248" s="22"/>
      <c r="FYQ248" s="22"/>
      <c r="FYR248" s="22"/>
      <c r="FYS248" s="22"/>
      <c r="FYT248" s="22"/>
      <c r="FYU248" s="22"/>
      <c r="FYV248" s="22"/>
      <c r="FYW248" s="22"/>
      <c r="FYX248" s="22"/>
      <c r="FYY248" s="22"/>
      <c r="FYZ248" s="22"/>
      <c r="FZA248" s="22"/>
      <c r="FZB248" s="22"/>
      <c r="FZC248" s="22"/>
      <c r="FZD248" s="22"/>
      <c r="FZE248" s="22"/>
      <c r="FZF248" s="22"/>
      <c r="FZG248" s="22"/>
      <c r="FZH248" s="22"/>
      <c r="FZI248" s="22"/>
      <c r="FZJ248" s="22"/>
      <c r="FZK248" s="22"/>
      <c r="FZL248" s="22"/>
      <c r="FZM248" s="22"/>
      <c r="FZN248" s="22"/>
      <c r="FZO248" s="22"/>
      <c r="FZP248" s="22"/>
      <c r="FZQ248" s="22"/>
      <c r="FZR248" s="22"/>
      <c r="FZS248" s="22"/>
      <c r="FZT248" s="22"/>
      <c r="FZU248" s="22"/>
      <c r="FZV248" s="22"/>
      <c r="FZW248" s="22"/>
      <c r="FZX248" s="22"/>
      <c r="FZY248" s="22"/>
      <c r="FZZ248" s="22"/>
      <c r="GAA248" s="22"/>
      <c r="GAB248" s="22"/>
      <c r="GAC248" s="22"/>
      <c r="GAD248" s="22"/>
      <c r="GAE248" s="22"/>
      <c r="GAF248" s="22"/>
      <c r="GAG248" s="22"/>
      <c r="GAH248" s="22"/>
      <c r="GAI248" s="22"/>
      <c r="GAJ248" s="22"/>
      <c r="GAK248" s="22"/>
      <c r="GAL248" s="22"/>
      <c r="GAM248" s="22"/>
      <c r="GAN248" s="22"/>
      <c r="GAO248" s="22"/>
      <c r="GAP248" s="22"/>
      <c r="GAQ248" s="22"/>
      <c r="GAR248" s="22"/>
      <c r="GAS248" s="22"/>
      <c r="GAT248" s="22"/>
      <c r="GAU248" s="22"/>
      <c r="GAV248" s="22"/>
      <c r="GAW248" s="22"/>
      <c r="GAX248" s="22"/>
      <c r="GAY248" s="22"/>
      <c r="GAZ248" s="22"/>
      <c r="GBA248" s="22"/>
      <c r="GBB248" s="22"/>
      <c r="GBC248" s="22"/>
      <c r="GBD248" s="22"/>
      <c r="GBE248" s="22"/>
      <c r="GBF248" s="22"/>
      <c r="GBG248" s="22"/>
      <c r="GBH248" s="22"/>
      <c r="GBI248" s="22"/>
      <c r="GBJ248" s="22"/>
      <c r="GBK248" s="22"/>
      <c r="GBL248" s="22"/>
      <c r="GBM248" s="22"/>
      <c r="GBN248" s="22"/>
      <c r="GBO248" s="22"/>
      <c r="GBP248" s="22"/>
      <c r="GBQ248" s="22"/>
      <c r="GBR248" s="22"/>
      <c r="GBS248" s="22"/>
      <c r="GBT248" s="22"/>
      <c r="GBU248" s="22"/>
      <c r="GBV248" s="22"/>
      <c r="GBW248" s="22"/>
      <c r="GBX248" s="22"/>
      <c r="GBY248" s="22"/>
      <c r="GBZ248" s="22"/>
      <c r="GCA248" s="22"/>
      <c r="GCB248" s="22"/>
      <c r="GCC248" s="22"/>
      <c r="GCD248" s="22"/>
      <c r="GCE248" s="22"/>
      <c r="GCF248" s="22"/>
      <c r="GCG248" s="22"/>
      <c r="GCH248" s="22"/>
      <c r="GCI248" s="22"/>
      <c r="GCJ248" s="22"/>
      <c r="GCK248" s="22"/>
      <c r="GCL248" s="22"/>
      <c r="GCM248" s="22"/>
      <c r="GCN248" s="22"/>
      <c r="GCO248" s="22"/>
      <c r="GCP248" s="22"/>
      <c r="GCQ248" s="22"/>
      <c r="GCR248" s="22"/>
      <c r="GCS248" s="22"/>
      <c r="GCT248" s="22"/>
      <c r="GCU248" s="22"/>
      <c r="GCV248" s="22"/>
      <c r="GCW248" s="22"/>
      <c r="GCX248" s="22"/>
      <c r="GCY248" s="22"/>
      <c r="GCZ248" s="22"/>
      <c r="GDA248" s="22"/>
      <c r="GDB248" s="22"/>
      <c r="GDC248" s="22"/>
      <c r="GDD248" s="22"/>
      <c r="GDE248" s="22"/>
      <c r="GDF248" s="22"/>
      <c r="GDG248" s="22"/>
      <c r="GDH248" s="22"/>
      <c r="GDI248" s="22"/>
      <c r="GDJ248" s="22"/>
      <c r="GDK248" s="22"/>
      <c r="GDL248" s="22"/>
      <c r="GDM248" s="22"/>
      <c r="GDN248" s="22"/>
      <c r="GDO248" s="22"/>
      <c r="GDP248" s="22"/>
      <c r="GDQ248" s="22"/>
      <c r="GDR248" s="22"/>
      <c r="GDS248" s="22"/>
      <c r="GDT248" s="22"/>
      <c r="GDU248" s="22"/>
      <c r="GDV248" s="22"/>
      <c r="GDW248" s="22"/>
      <c r="GDX248" s="22"/>
      <c r="GDY248" s="22"/>
      <c r="GDZ248" s="22"/>
      <c r="GEA248" s="22"/>
      <c r="GEB248" s="22"/>
      <c r="GEC248" s="22"/>
      <c r="GED248" s="22"/>
      <c r="GEE248" s="22"/>
      <c r="GEF248" s="22"/>
      <c r="GEG248" s="22"/>
      <c r="GEH248" s="22"/>
      <c r="GEI248" s="22"/>
      <c r="GEJ248" s="22"/>
      <c r="GEK248" s="22"/>
      <c r="GEL248" s="22"/>
      <c r="GEM248" s="22"/>
      <c r="GEN248" s="22"/>
      <c r="GEO248" s="22"/>
      <c r="GEP248" s="22"/>
      <c r="GEQ248" s="22"/>
      <c r="GER248" s="22"/>
      <c r="GES248" s="22"/>
      <c r="GET248" s="22"/>
      <c r="GEU248" s="22"/>
      <c r="GEV248" s="22"/>
      <c r="GEW248" s="22"/>
      <c r="GEX248" s="22"/>
      <c r="GEY248" s="22"/>
      <c r="GEZ248" s="22"/>
      <c r="GFA248" s="22"/>
      <c r="GFB248" s="22"/>
      <c r="GFC248" s="22"/>
      <c r="GFD248" s="22"/>
      <c r="GFE248" s="22"/>
      <c r="GFF248" s="22"/>
      <c r="GFG248" s="22"/>
      <c r="GFH248" s="22"/>
      <c r="GFI248" s="22"/>
      <c r="GFJ248" s="22"/>
      <c r="GFK248" s="22"/>
      <c r="GFL248" s="22"/>
      <c r="GFM248" s="22"/>
      <c r="GFN248" s="22"/>
      <c r="GFO248" s="22"/>
      <c r="GFP248" s="22"/>
      <c r="GFQ248" s="22"/>
      <c r="GFR248" s="22"/>
      <c r="GFS248" s="22"/>
      <c r="GFT248" s="22"/>
      <c r="GFU248" s="22"/>
      <c r="GFV248" s="22"/>
      <c r="GFW248" s="22"/>
      <c r="GFX248" s="22"/>
      <c r="GFY248" s="22"/>
      <c r="GFZ248" s="22"/>
      <c r="GGA248" s="22"/>
      <c r="GGB248" s="22"/>
      <c r="GGC248" s="22"/>
      <c r="GGD248" s="22"/>
      <c r="GGE248" s="22"/>
      <c r="GGF248" s="22"/>
      <c r="GGG248" s="22"/>
      <c r="GGH248" s="22"/>
      <c r="GGI248" s="22"/>
      <c r="GGJ248" s="22"/>
      <c r="GGK248" s="22"/>
      <c r="GGL248" s="22"/>
      <c r="GGM248" s="22"/>
      <c r="GGN248" s="22"/>
      <c r="GGO248" s="22"/>
      <c r="GGP248" s="22"/>
      <c r="GGQ248" s="22"/>
      <c r="GGR248" s="22"/>
      <c r="GGS248" s="22"/>
      <c r="GGT248" s="22"/>
      <c r="GGU248" s="22"/>
      <c r="GGV248" s="22"/>
      <c r="GGW248" s="22"/>
      <c r="GGX248" s="22"/>
      <c r="GGY248" s="22"/>
      <c r="GGZ248" s="22"/>
      <c r="GHA248" s="22"/>
      <c r="GHB248" s="22"/>
      <c r="GHC248" s="22"/>
      <c r="GHD248" s="22"/>
      <c r="GHE248" s="22"/>
      <c r="GHF248" s="22"/>
      <c r="GHG248" s="22"/>
      <c r="GHH248" s="22"/>
      <c r="GHI248" s="22"/>
      <c r="GHJ248" s="22"/>
      <c r="GHK248" s="22"/>
      <c r="GHL248" s="22"/>
      <c r="GHM248" s="22"/>
      <c r="GHN248" s="22"/>
      <c r="GHO248" s="22"/>
      <c r="GHP248" s="22"/>
      <c r="GHQ248" s="22"/>
      <c r="GHR248" s="22"/>
      <c r="GHS248" s="22"/>
      <c r="GHT248" s="22"/>
      <c r="GHU248" s="22"/>
      <c r="GHV248" s="22"/>
      <c r="GHW248" s="22"/>
      <c r="GHX248" s="22"/>
      <c r="GHY248" s="22"/>
      <c r="GHZ248" s="22"/>
      <c r="GIA248" s="22"/>
      <c r="GIB248" s="22"/>
      <c r="GIC248" s="22"/>
      <c r="GID248" s="22"/>
      <c r="GIE248" s="22"/>
      <c r="GIF248" s="22"/>
      <c r="GIG248" s="22"/>
      <c r="GIH248" s="22"/>
      <c r="GII248" s="22"/>
      <c r="GIJ248" s="22"/>
      <c r="GIK248" s="22"/>
      <c r="GIL248" s="22"/>
      <c r="GIM248" s="22"/>
      <c r="GIN248" s="22"/>
      <c r="GIO248" s="22"/>
      <c r="GIP248" s="22"/>
      <c r="GIQ248" s="22"/>
      <c r="GIR248" s="22"/>
      <c r="GIS248" s="22"/>
      <c r="GIT248" s="22"/>
      <c r="GIU248" s="22"/>
      <c r="GIV248" s="22"/>
      <c r="GIW248" s="22"/>
      <c r="GIX248" s="22"/>
      <c r="GIY248" s="22"/>
      <c r="GIZ248" s="22"/>
      <c r="GJA248" s="22"/>
      <c r="GJB248" s="22"/>
      <c r="GJC248" s="22"/>
      <c r="GJD248" s="22"/>
      <c r="GJE248" s="22"/>
      <c r="GJF248" s="22"/>
      <c r="GJG248" s="22"/>
      <c r="GJH248" s="22"/>
      <c r="GJI248" s="22"/>
      <c r="GJJ248" s="22"/>
      <c r="GJK248" s="22"/>
      <c r="GJL248" s="22"/>
      <c r="GJM248" s="22"/>
      <c r="GJN248" s="22"/>
      <c r="GJO248" s="22"/>
      <c r="GJP248" s="22"/>
      <c r="GJQ248" s="22"/>
      <c r="GJR248" s="22"/>
      <c r="GJS248" s="22"/>
      <c r="GJT248" s="22"/>
      <c r="GJU248" s="22"/>
      <c r="GJV248" s="22"/>
      <c r="GJW248" s="22"/>
      <c r="GJX248" s="22"/>
      <c r="GJY248" s="22"/>
      <c r="GJZ248" s="22"/>
      <c r="GKA248" s="22"/>
      <c r="GKB248" s="22"/>
      <c r="GKC248" s="22"/>
      <c r="GKD248" s="22"/>
      <c r="GKE248" s="22"/>
      <c r="GKF248" s="22"/>
      <c r="GKG248" s="22"/>
      <c r="GKH248" s="22"/>
      <c r="GKI248" s="22"/>
      <c r="GKJ248" s="22"/>
      <c r="GKK248" s="22"/>
      <c r="GKL248" s="22"/>
      <c r="GKM248" s="22"/>
      <c r="GKN248" s="22"/>
      <c r="GKO248" s="22"/>
      <c r="GKP248" s="22"/>
      <c r="GKQ248" s="22"/>
      <c r="GKR248" s="22"/>
      <c r="GKS248" s="22"/>
      <c r="GKT248" s="22"/>
      <c r="GKU248" s="22"/>
      <c r="GKV248" s="22"/>
      <c r="GKW248" s="22"/>
      <c r="GKX248" s="22"/>
      <c r="GKY248" s="22"/>
      <c r="GKZ248" s="22"/>
      <c r="GLA248" s="22"/>
      <c r="GLB248" s="22"/>
      <c r="GLC248" s="22"/>
      <c r="GLD248" s="22"/>
      <c r="GLE248" s="22"/>
      <c r="GLF248" s="22"/>
      <c r="GLG248" s="22"/>
      <c r="GLH248" s="22"/>
      <c r="GLI248" s="22"/>
      <c r="GLJ248" s="22"/>
      <c r="GLK248" s="22"/>
      <c r="GLL248" s="22"/>
      <c r="GLM248" s="22"/>
      <c r="GLN248" s="22"/>
      <c r="GLO248" s="22"/>
      <c r="GLP248" s="22"/>
      <c r="GLQ248" s="22"/>
      <c r="GLR248" s="22"/>
      <c r="GLS248" s="22"/>
      <c r="GLT248" s="22"/>
      <c r="GLU248" s="22"/>
      <c r="GLV248" s="22"/>
      <c r="GLW248" s="22"/>
      <c r="GLX248" s="22"/>
      <c r="GLY248" s="22"/>
      <c r="GLZ248" s="22"/>
      <c r="GMA248" s="22"/>
      <c r="GMB248" s="22"/>
      <c r="GMC248" s="22"/>
      <c r="GMD248" s="22"/>
      <c r="GME248" s="22"/>
      <c r="GMF248" s="22"/>
      <c r="GMG248" s="22"/>
      <c r="GMH248" s="22"/>
      <c r="GMI248" s="22"/>
      <c r="GMJ248" s="22"/>
      <c r="GMK248" s="22"/>
      <c r="GML248" s="22"/>
      <c r="GMM248" s="22"/>
      <c r="GMN248" s="22"/>
      <c r="GMO248" s="22"/>
      <c r="GMP248" s="22"/>
      <c r="GMQ248" s="22"/>
      <c r="GMR248" s="22"/>
      <c r="GMS248" s="22"/>
      <c r="GMT248" s="22"/>
      <c r="GMU248" s="22"/>
      <c r="GMV248" s="22"/>
      <c r="GMW248" s="22"/>
      <c r="GMX248" s="22"/>
      <c r="GMY248" s="22"/>
      <c r="GMZ248" s="22"/>
      <c r="GNA248" s="22"/>
      <c r="GNB248" s="22"/>
      <c r="GNC248" s="22"/>
      <c r="GND248" s="22"/>
      <c r="GNE248" s="22"/>
      <c r="GNF248" s="22"/>
      <c r="GNG248" s="22"/>
      <c r="GNH248" s="22"/>
      <c r="GNI248" s="22"/>
      <c r="GNJ248" s="22"/>
      <c r="GNK248" s="22"/>
      <c r="GNL248" s="22"/>
      <c r="GNM248" s="22"/>
      <c r="GNN248" s="22"/>
      <c r="GNO248" s="22"/>
      <c r="GNP248" s="22"/>
      <c r="GNQ248" s="22"/>
      <c r="GNR248" s="22"/>
      <c r="GNS248" s="22"/>
      <c r="GNT248" s="22"/>
      <c r="GNU248" s="22"/>
      <c r="GNV248" s="22"/>
      <c r="GNW248" s="22"/>
      <c r="GNX248" s="22"/>
      <c r="GNY248" s="22"/>
      <c r="GNZ248" s="22"/>
      <c r="GOA248" s="22"/>
      <c r="GOB248" s="22"/>
      <c r="GOC248" s="22"/>
      <c r="GOD248" s="22"/>
      <c r="GOE248" s="22"/>
      <c r="GOF248" s="22"/>
      <c r="GOG248" s="22"/>
      <c r="GOH248" s="22"/>
      <c r="GOI248" s="22"/>
      <c r="GOJ248" s="22"/>
      <c r="GOK248" s="22"/>
      <c r="GOL248" s="22"/>
      <c r="GOM248" s="22"/>
      <c r="GON248" s="22"/>
      <c r="GOO248" s="22"/>
      <c r="GOP248" s="22"/>
      <c r="GOQ248" s="22"/>
      <c r="GOR248" s="22"/>
      <c r="GOS248" s="22"/>
      <c r="GOT248" s="22"/>
      <c r="GOU248" s="22"/>
      <c r="GOV248" s="22"/>
      <c r="GOW248" s="22"/>
      <c r="GOX248" s="22"/>
      <c r="GOY248" s="22"/>
      <c r="GOZ248" s="22"/>
      <c r="GPA248" s="22"/>
      <c r="GPB248" s="22"/>
      <c r="GPC248" s="22"/>
      <c r="GPD248" s="22"/>
      <c r="GPE248" s="22"/>
      <c r="GPF248" s="22"/>
      <c r="GPG248" s="22"/>
      <c r="GPH248" s="22"/>
      <c r="GPI248" s="22"/>
      <c r="GPJ248" s="22"/>
      <c r="GPK248" s="22"/>
      <c r="GPL248" s="22"/>
      <c r="GPM248" s="22"/>
      <c r="GPN248" s="22"/>
      <c r="GPO248" s="22"/>
      <c r="GPP248" s="22"/>
      <c r="GPQ248" s="22"/>
      <c r="GPR248" s="22"/>
      <c r="GPS248" s="22"/>
      <c r="GPT248" s="22"/>
      <c r="GPU248" s="22"/>
      <c r="GPV248" s="22"/>
      <c r="GPW248" s="22"/>
      <c r="GPX248" s="22"/>
      <c r="GPY248" s="22"/>
      <c r="GPZ248" s="22"/>
      <c r="GQA248" s="22"/>
      <c r="GQB248" s="22"/>
      <c r="GQC248" s="22"/>
      <c r="GQD248" s="22"/>
      <c r="GQE248" s="22"/>
      <c r="GQF248" s="22"/>
      <c r="GQG248" s="22"/>
      <c r="GQH248" s="22"/>
      <c r="GQI248" s="22"/>
      <c r="GQJ248" s="22"/>
      <c r="GQK248" s="22"/>
      <c r="GQL248" s="22"/>
      <c r="GQM248" s="22"/>
      <c r="GQN248" s="22"/>
      <c r="GQO248" s="22"/>
      <c r="GQP248" s="22"/>
      <c r="GQQ248" s="22"/>
      <c r="GQR248" s="22"/>
      <c r="GQS248" s="22"/>
      <c r="GQT248" s="22"/>
      <c r="GQU248" s="22"/>
      <c r="GQV248" s="22"/>
      <c r="GQW248" s="22"/>
      <c r="GQX248" s="22"/>
      <c r="GQY248" s="22"/>
      <c r="GQZ248" s="22"/>
      <c r="GRA248" s="22"/>
      <c r="GRB248" s="22"/>
      <c r="GRC248" s="22"/>
      <c r="GRD248" s="22"/>
      <c r="GRE248" s="22"/>
      <c r="GRF248" s="22"/>
      <c r="GRG248" s="22"/>
      <c r="GRH248" s="22"/>
      <c r="GRI248" s="22"/>
      <c r="GRJ248" s="22"/>
      <c r="GRK248" s="22"/>
      <c r="GRL248" s="22"/>
      <c r="GRM248" s="22"/>
      <c r="GRN248" s="22"/>
      <c r="GRO248" s="22"/>
      <c r="GRP248" s="22"/>
      <c r="GRQ248" s="22"/>
      <c r="GRR248" s="22"/>
      <c r="GRS248" s="22"/>
      <c r="GRT248" s="22"/>
      <c r="GRU248" s="22"/>
      <c r="GRV248" s="22"/>
      <c r="GRW248" s="22"/>
      <c r="GRX248" s="22"/>
      <c r="GRY248" s="22"/>
      <c r="GRZ248" s="22"/>
      <c r="GSA248" s="22"/>
      <c r="GSB248" s="22"/>
      <c r="GSC248" s="22"/>
      <c r="GSD248" s="22"/>
      <c r="GSE248" s="22"/>
      <c r="GSF248" s="22"/>
      <c r="GSG248" s="22"/>
      <c r="GSH248" s="22"/>
      <c r="GSI248" s="22"/>
      <c r="GSJ248" s="22"/>
      <c r="GSK248" s="22"/>
      <c r="GSL248" s="22"/>
      <c r="GSM248" s="22"/>
      <c r="GSN248" s="22"/>
      <c r="GSO248" s="22"/>
      <c r="GSP248" s="22"/>
      <c r="GSQ248" s="22"/>
      <c r="GSR248" s="22"/>
      <c r="GSS248" s="22"/>
      <c r="GST248" s="22"/>
      <c r="GSU248" s="22"/>
      <c r="GSV248" s="22"/>
      <c r="GSW248" s="22"/>
      <c r="GSX248" s="22"/>
      <c r="GSY248" s="22"/>
      <c r="GSZ248" s="22"/>
      <c r="GTA248" s="22"/>
      <c r="GTB248" s="22"/>
      <c r="GTC248" s="22"/>
      <c r="GTD248" s="22"/>
      <c r="GTE248" s="22"/>
      <c r="GTF248" s="22"/>
      <c r="GTG248" s="22"/>
      <c r="GTH248" s="22"/>
      <c r="GTI248" s="22"/>
      <c r="GTJ248" s="22"/>
      <c r="GTK248" s="22"/>
      <c r="GTL248" s="22"/>
      <c r="GTM248" s="22"/>
      <c r="GTN248" s="22"/>
      <c r="GTO248" s="22"/>
      <c r="GTP248" s="22"/>
      <c r="GTQ248" s="22"/>
      <c r="GTR248" s="22"/>
      <c r="GTS248" s="22"/>
      <c r="GTT248" s="22"/>
      <c r="GTU248" s="22"/>
      <c r="GTV248" s="22"/>
      <c r="GTW248" s="22"/>
      <c r="GTX248" s="22"/>
      <c r="GTY248" s="22"/>
      <c r="GTZ248" s="22"/>
      <c r="GUA248" s="22"/>
      <c r="GUB248" s="22"/>
      <c r="GUC248" s="22"/>
      <c r="GUD248" s="22"/>
      <c r="GUE248" s="22"/>
      <c r="GUF248" s="22"/>
      <c r="GUG248" s="22"/>
      <c r="GUH248" s="22"/>
      <c r="GUI248" s="22"/>
      <c r="GUJ248" s="22"/>
      <c r="GUK248" s="22"/>
      <c r="GUL248" s="22"/>
      <c r="GUM248" s="22"/>
      <c r="GUN248" s="22"/>
      <c r="GUO248" s="22"/>
      <c r="GUP248" s="22"/>
      <c r="GUQ248" s="22"/>
      <c r="GUR248" s="22"/>
      <c r="GUS248" s="22"/>
      <c r="GUT248" s="22"/>
      <c r="GUU248" s="22"/>
      <c r="GUV248" s="22"/>
      <c r="GUW248" s="22"/>
      <c r="GUX248" s="22"/>
      <c r="GUY248" s="22"/>
      <c r="GUZ248" s="22"/>
      <c r="GVA248" s="22"/>
      <c r="GVB248" s="22"/>
      <c r="GVC248" s="22"/>
      <c r="GVD248" s="22"/>
      <c r="GVE248" s="22"/>
      <c r="GVF248" s="22"/>
      <c r="GVG248" s="22"/>
      <c r="GVH248" s="22"/>
      <c r="GVI248" s="22"/>
      <c r="GVJ248" s="22"/>
      <c r="GVK248" s="22"/>
      <c r="GVL248" s="22"/>
      <c r="GVM248" s="22"/>
      <c r="GVN248" s="22"/>
      <c r="GVO248" s="22"/>
      <c r="GVP248" s="22"/>
      <c r="GVQ248" s="22"/>
      <c r="GVR248" s="22"/>
      <c r="GVS248" s="22"/>
      <c r="GVT248" s="22"/>
      <c r="GVU248" s="22"/>
      <c r="GVV248" s="22"/>
      <c r="GVW248" s="22"/>
      <c r="GVX248" s="22"/>
      <c r="GVY248" s="22"/>
      <c r="GVZ248" s="22"/>
      <c r="GWA248" s="22"/>
      <c r="GWB248" s="22"/>
      <c r="GWC248" s="22"/>
      <c r="GWD248" s="22"/>
      <c r="GWE248" s="22"/>
      <c r="GWF248" s="22"/>
      <c r="GWG248" s="22"/>
      <c r="GWH248" s="22"/>
      <c r="GWI248" s="22"/>
      <c r="GWJ248" s="22"/>
      <c r="GWK248" s="22"/>
      <c r="GWL248" s="22"/>
      <c r="GWM248" s="22"/>
      <c r="GWN248" s="22"/>
      <c r="GWO248" s="22"/>
      <c r="GWP248" s="22"/>
      <c r="GWQ248" s="22"/>
      <c r="GWR248" s="22"/>
      <c r="GWS248" s="22"/>
      <c r="GWT248" s="22"/>
      <c r="GWU248" s="22"/>
      <c r="GWV248" s="22"/>
      <c r="GWW248" s="22"/>
      <c r="GWX248" s="22"/>
      <c r="GWY248" s="22"/>
      <c r="GWZ248" s="22"/>
      <c r="GXA248" s="22"/>
      <c r="GXB248" s="22"/>
      <c r="GXC248" s="22"/>
      <c r="GXD248" s="22"/>
      <c r="GXE248" s="22"/>
      <c r="GXF248" s="22"/>
      <c r="GXG248" s="22"/>
      <c r="GXH248" s="22"/>
      <c r="GXI248" s="22"/>
      <c r="GXJ248" s="22"/>
      <c r="GXK248" s="22"/>
      <c r="GXL248" s="22"/>
      <c r="GXM248" s="22"/>
      <c r="GXN248" s="22"/>
      <c r="GXO248" s="22"/>
      <c r="GXP248" s="22"/>
      <c r="GXQ248" s="22"/>
      <c r="GXR248" s="22"/>
      <c r="GXS248" s="22"/>
      <c r="GXT248" s="22"/>
      <c r="GXU248" s="22"/>
      <c r="GXV248" s="22"/>
      <c r="GXW248" s="22"/>
      <c r="GXX248" s="22"/>
      <c r="GXY248" s="22"/>
      <c r="GXZ248" s="22"/>
      <c r="GYA248" s="22"/>
      <c r="GYB248" s="22"/>
      <c r="GYC248" s="22"/>
      <c r="GYD248" s="22"/>
      <c r="GYE248" s="22"/>
      <c r="GYF248" s="22"/>
      <c r="GYG248" s="22"/>
      <c r="GYH248" s="22"/>
      <c r="GYI248" s="22"/>
      <c r="GYJ248" s="22"/>
      <c r="GYK248" s="22"/>
      <c r="GYL248" s="22"/>
      <c r="GYM248" s="22"/>
      <c r="GYN248" s="22"/>
      <c r="GYO248" s="22"/>
      <c r="GYP248" s="22"/>
      <c r="GYQ248" s="22"/>
      <c r="GYR248" s="22"/>
      <c r="GYS248" s="22"/>
      <c r="GYT248" s="22"/>
      <c r="GYU248" s="22"/>
      <c r="GYV248" s="22"/>
      <c r="GYW248" s="22"/>
      <c r="GYX248" s="22"/>
      <c r="GYY248" s="22"/>
      <c r="GYZ248" s="22"/>
      <c r="GZA248" s="22"/>
      <c r="GZB248" s="22"/>
      <c r="GZC248" s="22"/>
      <c r="GZD248" s="22"/>
      <c r="GZE248" s="22"/>
      <c r="GZF248" s="22"/>
      <c r="GZG248" s="22"/>
      <c r="GZH248" s="22"/>
      <c r="GZI248" s="22"/>
      <c r="GZJ248" s="22"/>
      <c r="GZK248" s="22"/>
      <c r="GZL248" s="22"/>
      <c r="GZM248" s="22"/>
      <c r="GZN248" s="22"/>
      <c r="GZO248" s="22"/>
      <c r="GZP248" s="22"/>
      <c r="GZQ248" s="22"/>
      <c r="GZR248" s="22"/>
      <c r="GZS248" s="22"/>
      <c r="GZT248" s="22"/>
      <c r="GZU248" s="22"/>
      <c r="GZV248" s="22"/>
      <c r="GZW248" s="22"/>
      <c r="GZX248" s="22"/>
      <c r="GZY248" s="22"/>
      <c r="GZZ248" s="22"/>
      <c r="HAA248" s="22"/>
      <c r="HAB248" s="22"/>
      <c r="HAC248" s="22"/>
      <c r="HAD248" s="22"/>
      <c r="HAE248" s="22"/>
      <c r="HAF248" s="22"/>
      <c r="HAG248" s="22"/>
      <c r="HAH248" s="22"/>
      <c r="HAI248" s="22"/>
      <c r="HAJ248" s="22"/>
      <c r="HAK248" s="22"/>
      <c r="HAL248" s="22"/>
      <c r="HAM248" s="22"/>
      <c r="HAN248" s="22"/>
      <c r="HAO248" s="22"/>
      <c r="HAP248" s="22"/>
      <c r="HAQ248" s="22"/>
      <c r="HAR248" s="22"/>
      <c r="HAS248" s="22"/>
      <c r="HAT248" s="22"/>
      <c r="HAU248" s="22"/>
      <c r="HAV248" s="22"/>
      <c r="HAW248" s="22"/>
      <c r="HAX248" s="22"/>
      <c r="HAY248" s="22"/>
      <c r="HAZ248" s="22"/>
      <c r="HBA248" s="22"/>
      <c r="HBB248" s="22"/>
      <c r="HBC248" s="22"/>
      <c r="HBD248" s="22"/>
      <c r="HBE248" s="22"/>
      <c r="HBF248" s="22"/>
      <c r="HBG248" s="22"/>
      <c r="HBH248" s="22"/>
      <c r="HBI248" s="22"/>
      <c r="HBJ248" s="22"/>
      <c r="HBK248" s="22"/>
      <c r="HBL248" s="22"/>
      <c r="HBM248" s="22"/>
      <c r="HBN248" s="22"/>
      <c r="HBO248" s="22"/>
      <c r="HBP248" s="22"/>
      <c r="HBQ248" s="22"/>
      <c r="HBR248" s="22"/>
      <c r="HBS248" s="22"/>
      <c r="HBT248" s="22"/>
      <c r="HBU248" s="22"/>
      <c r="HBV248" s="22"/>
      <c r="HBW248" s="22"/>
      <c r="HBX248" s="22"/>
      <c r="HBY248" s="22"/>
      <c r="HBZ248" s="22"/>
      <c r="HCA248" s="22"/>
      <c r="HCB248" s="22"/>
      <c r="HCC248" s="22"/>
      <c r="HCD248" s="22"/>
      <c r="HCE248" s="22"/>
      <c r="HCF248" s="22"/>
      <c r="HCG248" s="22"/>
      <c r="HCH248" s="22"/>
      <c r="HCI248" s="22"/>
      <c r="HCJ248" s="22"/>
      <c r="HCK248" s="22"/>
      <c r="HCL248" s="22"/>
      <c r="HCM248" s="22"/>
      <c r="HCN248" s="22"/>
      <c r="HCO248" s="22"/>
      <c r="HCP248" s="22"/>
      <c r="HCQ248" s="22"/>
      <c r="HCR248" s="22"/>
      <c r="HCS248" s="22"/>
      <c r="HCT248" s="22"/>
      <c r="HCU248" s="22"/>
      <c r="HCV248" s="22"/>
      <c r="HCW248" s="22"/>
      <c r="HCX248" s="22"/>
      <c r="HCY248" s="22"/>
      <c r="HCZ248" s="22"/>
      <c r="HDA248" s="22"/>
      <c r="HDB248" s="22"/>
      <c r="HDC248" s="22"/>
      <c r="HDD248" s="22"/>
      <c r="HDE248" s="22"/>
      <c r="HDF248" s="22"/>
      <c r="HDG248" s="22"/>
      <c r="HDH248" s="22"/>
      <c r="HDI248" s="22"/>
      <c r="HDJ248" s="22"/>
      <c r="HDK248" s="22"/>
      <c r="HDL248" s="22"/>
      <c r="HDM248" s="22"/>
      <c r="HDN248" s="22"/>
      <c r="HDO248" s="22"/>
      <c r="HDP248" s="22"/>
      <c r="HDQ248" s="22"/>
      <c r="HDR248" s="22"/>
      <c r="HDS248" s="22"/>
      <c r="HDT248" s="22"/>
      <c r="HDU248" s="22"/>
      <c r="HDV248" s="22"/>
      <c r="HDW248" s="22"/>
      <c r="HDX248" s="22"/>
      <c r="HDY248" s="22"/>
      <c r="HDZ248" s="22"/>
      <c r="HEA248" s="22"/>
      <c r="HEB248" s="22"/>
      <c r="HEC248" s="22"/>
      <c r="HED248" s="22"/>
      <c r="HEE248" s="22"/>
      <c r="HEF248" s="22"/>
      <c r="HEG248" s="22"/>
      <c r="HEH248" s="22"/>
      <c r="HEI248" s="22"/>
      <c r="HEJ248" s="22"/>
      <c r="HEK248" s="22"/>
      <c r="HEL248" s="22"/>
      <c r="HEM248" s="22"/>
      <c r="HEN248" s="22"/>
      <c r="HEO248" s="22"/>
      <c r="HEP248" s="22"/>
      <c r="HEQ248" s="22"/>
      <c r="HER248" s="22"/>
      <c r="HES248" s="22"/>
      <c r="HET248" s="22"/>
      <c r="HEU248" s="22"/>
      <c r="HEV248" s="22"/>
      <c r="HEW248" s="22"/>
      <c r="HEX248" s="22"/>
      <c r="HEY248" s="22"/>
      <c r="HEZ248" s="22"/>
      <c r="HFA248" s="22"/>
      <c r="HFB248" s="22"/>
      <c r="HFC248" s="22"/>
      <c r="HFD248" s="22"/>
      <c r="HFE248" s="22"/>
      <c r="HFF248" s="22"/>
      <c r="HFG248" s="22"/>
      <c r="HFH248" s="22"/>
      <c r="HFI248" s="22"/>
      <c r="HFJ248" s="22"/>
      <c r="HFK248" s="22"/>
      <c r="HFL248" s="22"/>
      <c r="HFM248" s="22"/>
      <c r="HFN248" s="22"/>
      <c r="HFO248" s="22"/>
      <c r="HFP248" s="22"/>
      <c r="HFQ248" s="22"/>
      <c r="HFR248" s="22"/>
      <c r="HFS248" s="22"/>
      <c r="HFT248" s="22"/>
      <c r="HFU248" s="22"/>
      <c r="HFV248" s="22"/>
      <c r="HFW248" s="22"/>
      <c r="HFX248" s="22"/>
      <c r="HFY248" s="22"/>
      <c r="HFZ248" s="22"/>
      <c r="HGA248" s="22"/>
      <c r="HGB248" s="22"/>
      <c r="HGC248" s="22"/>
      <c r="HGD248" s="22"/>
      <c r="HGE248" s="22"/>
      <c r="HGF248" s="22"/>
      <c r="HGG248" s="22"/>
      <c r="HGH248" s="22"/>
      <c r="HGI248" s="22"/>
      <c r="HGJ248" s="22"/>
      <c r="HGK248" s="22"/>
      <c r="HGL248" s="22"/>
      <c r="HGM248" s="22"/>
      <c r="HGN248" s="22"/>
      <c r="HGO248" s="22"/>
      <c r="HGP248" s="22"/>
      <c r="HGQ248" s="22"/>
      <c r="HGR248" s="22"/>
      <c r="HGS248" s="22"/>
      <c r="HGT248" s="22"/>
      <c r="HGU248" s="22"/>
      <c r="HGV248" s="22"/>
      <c r="HGW248" s="22"/>
      <c r="HGX248" s="22"/>
      <c r="HGY248" s="22"/>
      <c r="HGZ248" s="22"/>
      <c r="HHA248" s="22"/>
      <c r="HHB248" s="22"/>
      <c r="HHC248" s="22"/>
      <c r="HHD248" s="22"/>
      <c r="HHE248" s="22"/>
      <c r="HHF248" s="22"/>
      <c r="HHG248" s="22"/>
      <c r="HHH248" s="22"/>
      <c r="HHI248" s="22"/>
      <c r="HHJ248" s="22"/>
      <c r="HHK248" s="22"/>
      <c r="HHL248" s="22"/>
      <c r="HHM248" s="22"/>
      <c r="HHN248" s="22"/>
      <c r="HHO248" s="22"/>
      <c r="HHP248" s="22"/>
      <c r="HHQ248" s="22"/>
      <c r="HHR248" s="22"/>
      <c r="HHS248" s="22"/>
      <c r="HHT248" s="22"/>
      <c r="HHU248" s="22"/>
      <c r="HHV248" s="22"/>
      <c r="HHW248" s="22"/>
      <c r="HHX248" s="22"/>
      <c r="HHY248" s="22"/>
      <c r="HHZ248" s="22"/>
      <c r="HIA248" s="22"/>
      <c r="HIB248" s="22"/>
      <c r="HIC248" s="22"/>
      <c r="HID248" s="22"/>
      <c r="HIE248" s="22"/>
      <c r="HIF248" s="22"/>
      <c r="HIG248" s="22"/>
      <c r="HIH248" s="22"/>
      <c r="HII248" s="22"/>
      <c r="HIJ248" s="22"/>
      <c r="HIK248" s="22"/>
      <c r="HIL248" s="22"/>
      <c r="HIM248" s="22"/>
      <c r="HIN248" s="22"/>
      <c r="HIO248" s="22"/>
      <c r="HIP248" s="22"/>
      <c r="HIQ248" s="22"/>
      <c r="HIR248" s="22"/>
      <c r="HIS248" s="22"/>
      <c r="HIT248" s="22"/>
      <c r="HIU248" s="22"/>
      <c r="HIV248" s="22"/>
      <c r="HIW248" s="22"/>
      <c r="HIX248" s="22"/>
      <c r="HIY248" s="22"/>
      <c r="HIZ248" s="22"/>
      <c r="HJA248" s="22"/>
      <c r="HJB248" s="22"/>
      <c r="HJC248" s="22"/>
      <c r="HJD248" s="22"/>
      <c r="HJE248" s="22"/>
      <c r="HJF248" s="22"/>
      <c r="HJG248" s="22"/>
      <c r="HJH248" s="22"/>
      <c r="HJI248" s="22"/>
      <c r="HJJ248" s="22"/>
      <c r="HJK248" s="22"/>
      <c r="HJL248" s="22"/>
      <c r="HJM248" s="22"/>
      <c r="HJN248" s="22"/>
      <c r="HJO248" s="22"/>
      <c r="HJP248" s="22"/>
      <c r="HJQ248" s="22"/>
      <c r="HJR248" s="22"/>
      <c r="HJS248" s="22"/>
      <c r="HJT248" s="22"/>
      <c r="HJU248" s="22"/>
      <c r="HJV248" s="22"/>
      <c r="HJW248" s="22"/>
      <c r="HJX248" s="22"/>
      <c r="HJY248" s="22"/>
      <c r="HJZ248" s="22"/>
      <c r="HKA248" s="22"/>
      <c r="HKB248" s="22"/>
      <c r="HKC248" s="22"/>
      <c r="HKD248" s="22"/>
      <c r="HKE248" s="22"/>
      <c r="HKF248" s="22"/>
      <c r="HKG248" s="22"/>
      <c r="HKH248" s="22"/>
      <c r="HKI248" s="22"/>
      <c r="HKJ248" s="22"/>
      <c r="HKK248" s="22"/>
      <c r="HKL248" s="22"/>
      <c r="HKM248" s="22"/>
      <c r="HKN248" s="22"/>
      <c r="HKO248" s="22"/>
      <c r="HKP248" s="22"/>
      <c r="HKQ248" s="22"/>
      <c r="HKR248" s="22"/>
      <c r="HKS248" s="22"/>
      <c r="HKT248" s="22"/>
      <c r="HKU248" s="22"/>
      <c r="HKV248" s="22"/>
      <c r="HKW248" s="22"/>
      <c r="HKX248" s="22"/>
      <c r="HKY248" s="22"/>
      <c r="HKZ248" s="22"/>
      <c r="HLA248" s="22"/>
      <c r="HLB248" s="22"/>
      <c r="HLC248" s="22"/>
      <c r="HLD248" s="22"/>
      <c r="HLE248" s="22"/>
      <c r="HLF248" s="22"/>
      <c r="HLG248" s="22"/>
      <c r="HLH248" s="22"/>
      <c r="HLI248" s="22"/>
      <c r="HLJ248" s="22"/>
      <c r="HLK248" s="22"/>
      <c r="HLL248" s="22"/>
      <c r="HLM248" s="22"/>
      <c r="HLN248" s="22"/>
      <c r="HLO248" s="22"/>
      <c r="HLP248" s="22"/>
      <c r="HLQ248" s="22"/>
      <c r="HLR248" s="22"/>
      <c r="HLS248" s="22"/>
      <c r="HLT248" s="22"/>
      <c r="HLU248" s="22"/>
      <c r="HLV248" s="22"/>
      <c r="HLW248" s="22"/>
      <c r="HLX248" s="22"/>
      <c r="HLY248" s="22"/>
      <c r="HLZ248" s="22"/>
      <c r="HMA248" s="22"/>
      <c r="HMB248" s="22"/>
      <c r="HMC248" s="22"/>
      <c r="HMD248" s="22"/>
      <c r="HME248" s="22"/>
      <c r="HMF248" s="22"/>
      <c r="HMG248" s="22"/>
      <c r="HMH248" s="22"/>
      <c r="HMI248" s="22"/>
      <c r="HMJ248" s="22"/>
      <c r="HMK248" s="22"/>
      <c r="HML248" s="22"/>
      <c r="HMM248" s="22"/>
      <c r="HMN248" s="22"/>
      <c r="HMO248" s="22"/>
      <c r="HMP248" s="22"/>
      <c r="HMQ248" s="22"/>
      <c r="HMR248" s="22"/>
      <c r="HMS248" s="22"/>
      <c r="HMT248" s="22"/>
      <c r="HMU248" s="22"/>
      <c r="HMV248" s="22"/>
      <c r="HMW248" s="22"/>
      <c r="HMX248" s="22"/>
      <c r="HMY248" s="22"/>
      <c r="HMZ248" s="22"/>
      <c r="HNA248" s="22"/>
      <c r="HNB248" s="22"/>
      <c r="HNC248" s="22"/>
      <c r="HND248" s="22"/>
      <c r="HNE248" s="22"/>
      <c r="HNF248" s="22"/>
      <c r="HNG248" s="22"/>
      <c r="HNH248" s="22"/>
      <c r="HNI248" s="22"/>
      <c r="HNJ248" s="22"/>
      <c r="HNK248" s="22"/>
      <c r="HNL248" s="22"/>
      <c r="HNM248" s="22"/>
      <c r="HNN248" s="22"/>
      <c r="HNO248" s="22"/>
      <c r="HNP248" s="22"/>
      <c r="HNQ248" s="22"/>
      <c r="HNR248" s="22"/>
      <c r="HNS248" s="22"/>
      <c r="HNT248" s="22"/>
      <c r="HNU248" s="22"/>
      <c r="HNV248" s="22"/>
      <c r="HNW248" s="22"/>
      <c r="HNX248" s="22"/>
      <c r="HNY248" s="22"/>
      <c r="HNZ248" s="22"/>
      <c r="HOA248" s="22"/>
      <c r="HOB248" s="22"/>
      <c r="HOC248" s="22"/>
      <c r="HOD248" s="22"/>
      <c r="HOE248" s="22"/>
      <c r="HOF248" s="22"/>
      <c r="HOG248" s="22"/>
      <c r="HOH248" s="22"/>
      <c r="HOI248" s="22"/>
      <c r="HOJ248" s="22"/>
      <c r="HOK248" s="22"/>
      <c r="HOL248" s="22"/>
      <c r="HOM248" s="22"/>
      <c r="HON248" s="22"/>
      <c r="HOO248" s="22"/>
      <c r="HOP248" s="22"/>
      <c r="HOQ248" s="22"/>
      <c r="HOR248" s="22"/>
      <c r="HOS248" s="22"/>
      <c r="HOT248" s="22"/>
      <c r="HOU248" s="22"/>
      <c r="HOV248" s="22"/>
      <c r="HOW248" s="22"/>
      <c r="HOX248" s="22"/>
      <c r="HOY248" s="22"/>
      <c r="HOZ248" s="22"/>
      <c r="HPA248" s="22"/>
      <c r="HPB248" s="22"/>
      <c r="HPC248" s="22"/>
      <c r="HPD248" s="22"/>
      <c r="HPE248" s="22"/>
      <c r="HPF248" s="22"/>
      <c r="HPG248" s="22"/>
      <c r="HPH248" s="22"/>
      <c r="HPI248" s="22"/>
      <c r="HPJ248" s="22"/>
      <c r="HPK248" s="22"/>
      <c r="HPL248" s="22"/>
      <c r="HPM248" s="22"/>
      <c r="HPN248" s="22"/>
      <c r="HPO248" s="22"/>
      <c r="HPP248" s="22"/>
      <c r="HPQ248" s="22"/>
      <c r="HPR248" s="22"/>
      <c r="HPS248" s="22"/>
      <c r="HPT248" s="22"/>
      <c r="HPU248" s="22"/>
      <c r="HPV248" s="22"/>
      <c r="HPW248" s="22"/>
      <c r="HPX248" s="22"/>
      <c r="HPY248" s="22"/>
      <c r="HPZ248" s="22"/>
      <c r="HQA248" s="22"/>
      <c r="HQB248" s="22"/>
      <c r="HQC248" s="22"/>
      <c r="HQD248" s="22"/>
      <c r="HQE248" s="22"/>
      <c r="HQF248" s="22"/>
      <c r="HQG248" s="22"/>
      <c r="HQH248" s="22"/>
      <c r="HQI248" s="22"/>
      <c r="HQJ248" s="22"/>
      <c r="HQK248" s="22"/>
      <c r="HQL248" s="22"/>
      <c r="HQM248" s="22"/>
      <c r="HQN248" s="22"/>
      <c r="HQO248" s="22"/>
      <c r="HQP248" s="22"/>
      <c r="HQQ248" s="22"/>
      <c r="HQR248" s="22"/>
      <c r="HQS248" s="22"/>
      <c r="HQT248" s="22"/>
      <c r="HQU248" s="22"/>
      <c r="HQV248" s="22"/>
      <c r="HQW248" s="22"/>
      <c r="HQX248" s="22"/>
      <c r="HQY248" s="22"/>
      <c r="HQZ248" s="22"/>
      <c r="HRA248" s="22"/>
      <c r="HRB248" s="22"/>
      <c r="HRC248" s="22"/>
      <c r="HRD248" s="22"/>
      <c r="HRE248" s="22"/>
      <c r="HRF248" s="22"/>
      <c r="HRG248" s="22"/>
      <c r="HRH248" s="22"/>
      <c r="HRI248" s="22"/>
      <c r="HRJ248" s="22"/>
      <c r="HRK248" s="22"/>
      <c r="HRL248" s="22"/>
      <c r="HRM248" s="22"/>
      <c r="HRN248" s="22"/>
      <c r="HRO248" s="22"/>
      <c r="HRP248" s="22"/>
      <c r="HRQ248" s="22"/>
      <c r="HRR248" s="22"/>
      <c r="HRS248" s="22"/>
      <c r="HRT248" s="22"/>
      <c r="HRU248" s="22"/>
      <c r="HRV248" s="22"/>
      <c r="HRW248" s="22"/>
      <c r="HRX248" s="22"/>
      <c r="HRY248" s="22"/>
      <c r="HRZ248" s="22"/>
      <c r="HSA248" s="22"/>
      <c r="HSB248" s="22"/>
      <c r="HSC248" s="22"/>
      <c r="HSD248" s="22"/>
      <c r="HSE248" s="22"/>
      <c r="HSF248" s="22"/>
      <c r="HSG248" s="22"/>
      <c r="HSH248" s="22"/>
      <c r="HSI248" s="22"/>
      <c r="HSJ248" s="22"/>
      <c r="HSK248" s="22"/>
      <c r="HSL248" s="22"/>
      <c r="HSM248" s="22"/>
      <c r="HSN248" s="22"/>
      <c r="HSO248" s="22"/>
      <c r="HSP248" s="22"/>
      <c r="HSQ248" s="22"/>
      <c r="HSR248" s="22"/>
      <c r="HSS248" s="22"/>
      <c r="HST248" s="22"/>
      <c r="HSU248" s="22"/>
      <c r="HSV248" s="22"/>
      <c r="HSW248" s="22"/>
      <c r="HSX248" s="22"/>
      <c r="HSY248" s="22"/>
      <c r="HSZ248" s="22"/>
      <c r="HTA248" s="22"/>
      <c r="HTB248" s="22"/>
      <c r="HTC248" s="22"/>
      <c r="HTD248" s="22"/>
      <c r="HTE248" s="22"/>
      <c r="HTF248" s="22"/>
      <c r="HTG248" s="22"/>
      <c r="HTH248" s="22"/>
      <c r="HTI248" s="22"/>
      <c r="HTJ248" s="22"/>
      <c r="HTK248" s="22"/>
      <c r="HTL248" s="22"/>
      <c r="HTM248" s="22"/>
      <c r="HTN248" s="22"/>
      <c r="HTO248" s="22"/>
      <c r="HTP248" s="22"/>
      <c r="HTQ248" s="22"/>
      <c r="HTR248" s="22"/>
      <c r="HTS248" s="22"/>
      <c r="HTT248" s="22"/>
      <c r="HTU248" s="22"/>
      <c r="HTV248" s="22"/>
      <c r="HTW248" s="22"/>
      <c r="HTX248" s="22"/>
      <c r="HTY248" s="22"/>
      <c r="HTZ248" s="22"/>
      <c r="HUA248" s="22"/>
      <c r="HUB248" s="22"/>
      <c r="HUC248" s="22"/>
      <c r="HUD248" s="22"/>
      <c r="HUE248" s="22"/>
      <c r="HUF248" s="22"/>
      <c r="HUG248" s="22"/>
      <c r="HUH248" s="22"/>
      <c r="HUI248" s="22"/>
      <c r="HUJ248" s="22"/>
      <c r="HUK248" s="22"/>
      <c r="HUL248" s="22"/>
      <c r="HUM248" s="22"/>
      <c r="HUN248" s="22"/>
      <c r="HUO248" s="22"/>
      <c r="HUP248" s="22"/>
      <c r="HUQ248" s="22"/>
      <c r="HUR248" s="22"/>
      <c r="HUS248" s="22"/>
      <c r="HUT248" s="22"/>
      <c r="HUU248" s="22"/>
      <c r="HUV248" s="22"/>
      <c r="HUW248" s="22"/>
      <c r="HUX248" s="22"/>
      <c r="HUY248" s="22"/>
      <c r="HUZ248" s="22"/>
      <c r="HVA248" s="22"/>
      <c r="HVB248" s="22"/>
      <c r="HVC248" s="22"/>
      <c r="HVD248" s="22"/>
      <c r="HVE248" s="22"/>
      <c r="HVF248" s="22"/>
      <c r="HVG248" s="22"/>
      <c r="HVH248" s="22"/>
      <c r="HVI248" s="22"/>
      <c r="HVJ248" s="22"/>
      <c r="HVK248" s="22"/>
      <c r="HVL248" s="22"/>
      <c r="HVM248" s="22"/>
      <c r="HVN248" s="22"/>
      <c r="HVO248" s="22"/>
      <c r="HVP248" s="22"/>
      <c r="HVQ248" s="22"/>
      <c r="HVR248" s="22"/>
      <c r="HVS248" s="22"/>
      <c r="HVT248" s="22"/>
      <c r="HVU248" s="22"/>
      <c r="HVV248" s="22"/>
      <c r="HVW248" s="22"/>
      <c r="HVX248" s="22"/>
      <c r="HVY248" s="22"/>
      <c r="HVZ248" s="22"/>
      <c r="HWA248" s="22"/>
      <c r="HWB248" s="22"/>
      <c r="HWC248" s="22"/>
      <c r="HWD248" s="22"/>
      <c r="HWE248" s="22"/>
      <c r="HWF248" s="22"/>
      <c r="HWG248" s="22"/>
      <c r="HWH248" s="22"/>
      <c r="HWI248" s="22"/>
      <c r="HWJ248" s="22"/>
      <c r="HWK248" s="22"/>
      <c r="HWL248" s="22"/>
      <c r="HWM248" s="22"/>
      <c r="HWN248" s="22"/>
      <c r="HWO248" s="22"/>
      <c r="HWP248" s="22"/>
      <c r="HWQ248" s="22"/>
      <c r="HWR248" s="22"/>
      <c r="HWS248" s="22"/>
      <c r="HWT248" s="22"/>
      <c r="HWU248" s="22"/>
      <c r="HWV248" s="22"/>
      <c r="HWW248" s="22"/>
      <c r="HWX248" s="22"/>
      <c r="HWY248" s="22"/>
      <c r="HWZ248" s="22"/>
      <c r="HXA248" s="22"/>
      <c r="HXB248" s="22"/>
      <c r="HXC248" s="22"/>
      <c r="HXD248" s="22"/>
      <c r="HXE248" s="22"/>
      <c r="HXF248" s="22"/>
      <c r="HXG248" s="22"/>
      <c r="HXH248" s="22"/>
      <c r="HXI248" s="22"/>
      <c r="HXJ248" s="22"/>
      <c r="HXK248" s="22"/>
      <c r="HXL248" s="22"/>
      <c r="HXM248" s="22"/>
      <c r="HXN248" s="22"/>
      <c r="HXO248" s="22"/>
      <c r="HXP248" s="22"/>
      <c r="HXQ248" s="22"/>
      <c r="HXR248" s="22"/>
      <c r="HXS248" s="22"/>
      <c r="HXT248" s="22"/>
      <c r="HXU248" s="22"/>
      <c r="HXV248" s="22"/>
      <c r="HXW248" s="22"/>
      <c r="HXX248" s="22"/>
      <c r="HXY248" s="22"/>
      <c r="HXZ248" s="22"/>
      <c r="HYA248" s="22"/>
      <c r="HYB248" s="22"/>
      <c r="HYC248" s="22"/>
      <c r="HYD248" s="22"/>
      <c r="HYE248" s="22"/>
      <c r="HYF248" s="22"/>
      <c r="HYG248" s="22"/>
      <c r="HYH248" s="22"/>
      <c r="HYI248" s="22"/>
      <c r="HYJ248" s="22"/>
      <c r="HYK248" s="22"/>
      <c r="HYL248" s="22"/>
      <c r="HYM248" s="22"/>
      <c r="HYN248" s="22"/>
      <c r="HYO248" s="22"/>
      <c r="HYP248" s="22"/>
      <c r="HYQ248" s="22"/>
      <c r="HYR248" s="22"/>
      <c r="HYS248" s="22"/>
      <c r="HYT248" s="22"/>
      <c r="HYU248" s="22"/>
      <c r="HYV248" s="22"/>
      <c r="HYW248" s="22"/>
      <c r="HYX248" s="22"/>
      <c r="HYY248" s="22"/>
      <c r="HYZ248" s="22"/>
      <c r="HZA248" s="22"/>
      <c r="HZB248" s="22"/>
      <c r="HZC248" s="22"/>
      <c r="HZD248" s="22"/>
      <c r="HZE248" s="22"/>
      <c r="HZF248" s="22"/>
      <c r="HZG248" s="22"/>
      <c r="HZH248" s="22"/>
      <c r="HZI248" s="22"/>
      <c r="HZJ248" s="22"/>
      <c r="HZK248" s="22"/>
      <c r="HZL248" s="22"/>
      <c r="HZM248" s="22"/>
      <c r="HZN248" s="22"/>
      <c r="HZO248" s="22"/>
      <c r="HZP248" s="22"/>
      <c r="HZQ248" s="22"/>
      <c r="HZR248" s="22"/>
      <c r="HZS248" s="22"/>
      <c r="HZT248" s="22"/>
      <c r="HZU248" s="22"/>
      <c r="HZV248" s="22"/>
      <c r="HZW248" s="22"/>
      <c r="HZX248" s="22"/>
      <c r="HZY248" s="22"/>
      <c r="HZZ248" s="22"/>
      <c r="IAA248" s="22"/>
      <c r="IAB248" s="22"/>
      <c r="IAC248" s="22"/>
      <c r="IAD248" s="22"/>
      <c r="IAE248" s="22"/>
      <c r="IAF248" s="22"/>
      <c r="IAG248" s="22"/>
      <c r="IAH248" s="22"/>
      <c r="IAI248" s="22"/>
      <c r="IAJ248" s="22"/>
      <c r="IAK248" s="22"/>
      <c r="IAL248" s="22"/>
      <c r="IAM248" s="22"/>
      <c r="IAN248" s="22"/>
      <c r="IAO248" s="22"/>
      <c r="IAP248" s="22"/>
      <c r="IAQ248" s="22"/>
      <c r="IAR248" s="22"/>
      <c r="IAS248" s="22"/>
      <c r="IAT248" s="22"/>
      <c r="IAU248" s="22"/>
      <c r="IAV248" s="22"/>
      <c r="IAW248" s="22"/>
      <c r="IAX248" s="22"/>
      <c r="IAY248" s="22"/>
      <c r="IAZ248" s="22"/>
      <c r="IBA248" s="22"/>
      <c r="IBB248" s="22"/>
      <c r="IBC248" s="22"/>
      <c r="IBD248" s="22"/>
      <c r="IBE248" s="22"/>
      <c r="IBF248" s="22"/>
      <c r="IBG248" s="22"/>
      <c r="IBH248" s="22"/>
      <c r="IBI248" s="22"/>
      <c r="IBJ248" s="22"/>
      <c r="IBK248" s="22"/>
      <c r="IBL248" s="22"/>
      <c r="IBM248" s="22"/>
      <c r="IBN248" s="22"/>
      <c r="IBO248" s="22"/>
      <c r="IBP248" s="22"/>
      <c r="IBQ248" s="22"/>
      <c r="IBR248" s="22"/>
      <c r="IBS248" s="22"/>
      <c r="IBT248" s="22"/>
      <c r="IBU248" s="22"/>
      <c r="IBV248" s="22"/>
      <c r="IBW248" s="22"/>
      <c r="IBX248" s="22"/>
      <c r="IBY248" s="22"/>
      <c r="IBZ248" s="22"/>
      <c r="ICA248" s="22"/>
      <c r="ICB248" s="22"/>
      <c r="ICC248" s="22"/>
      <c r="ICD248" s="22"/>
      <c r="ICE248" s="22"/>
      <c r="ICF248" s="22"/>
      <c r="ICG248" s="22"/>
      <c r="ICH248" s="22"/>
      <c r="ICI248" s="22"/>
      <c r="ICJ248" s="22"/>
      <c r="ICK248" s="22"/>
      <c r="ICL248" s="22"/>
      <c r="ICM248" s="22"/>
      <c r="ICN248" s="22"/>
      <c r="ICO248" s="22"/>
      <c r="ICP248" s="22"/>
      <c r="ICQ248" s="22"/>
      <c r="ICR248" s="22"/>
      <c r="ICS248" s="22"/>
      <c r="ICT248" s="22"/>
      <c r="ICU248" s="22"/>
      <c r="ICV248" s="22"/>
      <c r="ICW248" s="22"/>
      <c r="ICX248" s="22"/>
      <c r="ICY248" s="22"/>
      <c r="ICZ248" s="22"/>
      <c r="IDA248" s="22"/>
      <c r="IDB248" s="22"/>
      <c r="IDC248" s="22"/>
      <c r="IDD248" s="22"/>
      <c r="IDE248" s="22"/>
      <c r="IDF248" s="22"/>
      <c r="IDG248" s="22"/>
      <c r="IDH248" s="22"/>
      <c r="IDI248" s="22"/>
      <c r="IDJ248" s="22"/>
      <c r="IDK248" s="22"/>
      <c r="IDL248" s="22"/>
      <c r="IDM248" s="22"/>
      <c r="IDN248" s="22"/>
      <c r="IDO248" s="22"/>
      <c r="IDP248" s="22"/>
      <c r="IDQ248" s="22"/>
      <c r="IDR248" s="22"/>
      <c r="IDS248" s="22"/>
      <c r="IDT248" s="22"/>
      <c r="IDU248" s="22"/>
      <c r="IDV248" s="22"/>
      <c r="IDW248" s="22"/>
      <c r="IDX248" s="22"/>
      <c r="IDY248" s="22"/>
      <c r="IDZ248" s="22"/>
      <c r="IEA248" s="22"/>
      <c r="IEB248" s="22"/>
      <c r="IEC248" s="22"/>
      <c r="IED248" s="22"/>
      <c r="IEE248" s="22"/>
      <c r="IEF248" s="22"/>
      <c r="IEG248" s="22"/>
      <c r="IEH248" s="22"/>
      <c r="IEI248" s="22"/>
      <c r="IEJ248" s="22"/>
      <c r="IEK248" s="22"/>
      <c r="IEL248" s="22"/>
      <c r="IEM248" s="22"/>
      <c r="IEN248" s="22"/>
      <c r="IEO248" s="22"/>
      <c r="IEP248" s="22"/>
      <c r="IEQ248" s="22"/>
      <c r="IER248" s="22"/>
      <c r="IES248" s="22"/>
      <c r="IET248" s="22"/>
      <c r="IEU248" s="22"/>
      <c r="IEV248" s="22"/>
      <c r="IEW248" s="22"/>
      <c r="IEX248" s="22"/>
      <c r="IEY248" s="22"/>
      <c r="IEZ248" s="22"/>
      <c r="IFA248" s="22"/>
      <c r="IFB248" s="22"/>
      <c r="IFC248" s="22"/>
      <c r="IFD248" s="22"/>
      <c r="IFE248" s="22"/>
      <c r="IFF248" s="22"/>
      <c r="IFG248" s="22"/>
      <c r="IFH248" s="22"/>
      <c r="IFI248" s="22"/>
      <c r="IFJ248" s="22"/>
      <c r="IFK248" s="22"/>
      <c r="IFL248" s="22"/>
      <c r="IFM248" s="22"/>
      <c r="IFN248" s="22"/>
      <c r="IFO248" s="22"/>
      <c r="IFP248" s="22"/>
      <c r="IFQ248" s="22"/>
      <c r="IFR248" s="22"/>
      <c r="IFS248" s="22"/>
      <c r="IFT248" s="22"/>
      <c r="IFU248" s="22"/>
      <c r="IFV248" s="22"/>
      <c r="IFW248" s="22"/>
      <c r="IFX248" s="22"/>
      <c r="IFY248" s="22"/>
      <c r="IFZ248" s="22"/>
      <c r="IGA248" s="22"/>
      <c r="IGB248" s="22"/>
      <c r="IGC248" s="22"/>
      <c r="IGD248" s="22"/>
      <c r="IGE248" s="22"/>
      <c r="IGF248" s="22"/>
      <c r="IGG248" s="22"/>
      <c r="IGH248" s="22"/>
      <c r="IGI248" s="22"/>
      <c r="IGJ248" s="22"/>
      <c r="IGK248" s="22"/>
      <c r="IGL248" s="22"/>
      <c r="IGM248" s="22"/>
      <c r="IGN248" s="22"/>
      <c r="IGO248" s="22"/>
      <c r="IGP248" s="22"/>
      <c r="IGQ248" s="22"/>
      <c r="IGR248" s="22"/>
      <c r="IGS248" s="22"/>
      <c r="IGT248" s="22"/>
      <c r="IGU248" s="22"/>
      <c r="IGV248" s="22"/>
      <c r="IGW248" s="22"/>
      <c r="IGX248" s="22"/>
      <c r="IGY248" s="22"/>
      <c r="IGZ248" s="22"/>
      <c r="IHA248" s="22"/>
      <c r="IHB248" s="22"/>
      <c r="IHC248" s="22"/>
      <c r="IHD248" s="22"/>
      <c r="IHE248" s="22"/>
      <c r="IHF248" s="22"/>
      <c r="IHG248" s="22"/>
      <c r="IHH248" s="22"/>
      <c r="IHI248" s="22"/>
      <c r="IHJ248" s="22"/>
      <c r="IHK248" s="22"/>
      <c r="IHL248" s="22"/>
      <c r="IHM248" s="22"/>
      <c r="IHN248" s="22"/>
      <c r="IHO248" s="22"/>
      <c r="IHP248" s="22"/>
      <c r="IHQ248" s="22"/>
      <c r="IHR248" s="22"/>
      <c r="IHS248" s="22"/>
      <c r="IHT248" s="22"/>
      <c r="IHU248" s="22"/>
      <c r="IHV248" s="22"/>
      <c r="IHW248" s="22"/>
      <c r="IHX248" s="22"/>
      <c r="IHY248" s="22"/>
      <c r="IHZ248" s="22"/>
      <c r="IIA248" s="22"/>
      <c r="IIB248" s="22"/>
      <c r="IIC248" s="22"/>
      <c r="IID248" s="22"/>
      <c r="IIE248" s="22"/>
      <c r="IIF248" s="22"/>
      <c r="IIG248" s="22"/>
      <c r="IIH248" s="22"/>
      <c r="III248" s="22"/>
      <c r="IIJ248" s="22"/>
      <c r="IIK248" s="22"/>
      <c r="IIL248" s="22"/>
      <c r="IIM248" s="22"/>
      <c r="IIN248" s="22"/>
      <c r="IIO248" s="22"/>
      <c r="IIP248" s="22"/>
      <c r="IIQ248" s="22"/>
      <c r="IIR248" s="22"/>
      <c r="IIS248" s="22"/>
      <c r="IIT248" s="22"/>
      <c r="IIU248" s="22"/>
      <c r="IIV248" s="22"/>
      <c r="IIW248" s="22"/>
      <c r="IIX248" s="22"/>
      <c r="IIY248" s="22"/>
      <c r="IIZ248" s="22"/>
      <c r="IJA248" s="22"/>
      <c r="IJB248" s="22"/>
      <c r="IJC248" s="22"/>
      <c r="IJD248" s="22"/>
      <c r="IJE248" s="22"/>
      <c r="IJF248" s="22"/>
      <c r="IJG248" s="22"/>
      <c r="IJH248" s="22"/>
      <c r="IJI248" s="22"/>
      <c r="IJJ248" s="22"/>
      <c r="IJK248" s="22"/>
      <c r="IJL248" s="22"/>
      <c r="IJM248" s="22"/>
      <c r="IJN248" s="22"/>
      <c r="IJO248" s="22"/>
      <c r="IJP248" s="22"/>
      <c r="IJQ248" s="22"/>
      <c r="IJR248" s="22"/>
      <c r="IJS248" s="22"/>
      <c r="IJT248" s="22"/>
      <c r="IJU248" s="22"/>
      <c r="IJV248" s="22"/>
      <c r="IJW248" s="22"/>
      <c r="IJX248" s="22"/>
      <c r="IJY248" s="22"/>
      <c r="IJZ248" s="22"/>
      <c r="IKA248" s="22"/>
      <c r="IKB248" s="22"/>
      <c r="IKC248" s="22"/>
      <c r="IKD248" s="22"/>
      <c r="IKE248" s="22"/>
      <c r="IKF248" s="22"/>
      <c r="IKG248" s="22"/>
      <c r="IKH248" s="22"/>
      <c r="IKI248" s="22"/>
      <c r="IKJ248" s="22"/>
      <c r="IKK248" s="22"/>
      <c r="IKL248" s="22"/>
      <c r="IKM248" s="22"/>
      <c r="IKN248" s="22"/>
      <c r="IKO248" s="22"/>
      <c r="IKP248" s="22"/>
      <c r="IKQ248" s="22"/>
      <c r="IKR248" s="22"/>
      <c r="IKS248" s="22"/>
      <c r="IKT248" s="22"/>
      <c r="IKU248" s="22"/>
      <c r="IKV248" s="22"/>
      <c r="IKW248" s="22"/>
      <c r="IKX248" s="22"/>
      <c r="IKY248" s="22"/>
      <c r="IKZ248" s="22"/>
      <c r="ILA248" s="22"/>
      <c r="ILB248" s="22"/>
      <c r="ILC248" s="22"/>
      <c r="ILD248" s="22"/>
      <c r="ILE248" s="22"/>
      <c r="ILF248" s="22"/>
      <c r="ILG248" s="22"/>
      <c r="ILH248" s="22"/>
      <c r="ILI248" s="22"/>
      <c r="ILJ248" s="22"/>
      <c r="ILK248" s="22"/>
      <c r="ILL248" s="22"/>
      <c r="ILM248" s="22"/>
      <c r="ILN248" s="22"/>
      <c r="ILO248" s="22"/>
      <c r="ILP248" s="22"/>
      <c r="ILQ248" s="22"/>
      <c r="ILR248" s="22"/>
      <c r="ILS248" s="22"/>
      <c r="ILT248" s="22"/>
      <c r="ILU248" s="22"/>
      <c r="ILV248" s="22"/>
      <c r="ILW248" s="22"/>
      <c r="ILX248" s="22"/>
      <c r="ILY248" s="22"/>
      <c r="ILZ248" s="22"/>
      <c r="IMA248" s="22"/>
      <c r="IMB248" s="22"/>
      <c r="IMC248" s="22"/>
      <c r="IMD248" s="22"/>
      <c r="IME248" s="22"/>
      <c r="IMF248" s="22"/>
      <c r="IMG248" s="22"/>
      <c r="IMH248" s="22"/>
      <c r="IMI248" s="22"/>
      <c r="IMJ248" s="22"/>
      <c r="IMK248" s="22"/>
      <c r="IML248" s="22"/>
      <c r="IMM248" s="22"/>
      <c r="IMN248" s="22"/>
      <c r="IMO248" s="22"/>
      <c r="IMP248" s="22"/>
      <c r="IMQ248" s="22"/>
      <c r="IMR248" s="22"/>
      <c r="IMS248" s="22"/>
      <c r="IMT248" s="22"/>
      <c r="IMU248" s="22"/>
      <c r="IMV248" s="22"/>
      <c r="IMW248" s="22"/>
      <c r="IMX248" s="22"/>
      <c r="IMY248" s="22"/>
      <c r="IMZ248" s="22"/>
      <c r="INA248" s="22"/>
      <c r="INB248" s="22"/>
      <c r="INC248" s="22"/>
      <c r="IND248" s="22"/>
      <c r="INE248" s="22"/>
      <c r="INF248" s="22"/>
      <c r="ING248" s="22"/>
      <c r="INH248" s="22"/>
      <c r="INI248" s="22"/>
      <c r="INJ248" s="22"/>
      <c r="INK248" s="22"/>
      <c r="INL248" s="22"/>
      <c r="INM248" s="22"/>
      <c r="INN248" s="22"/>
      <c r="INO248" s="22"/>
      <c r="INP248" s="22"/>
      <c r="INQ248" s="22"/>
      <c r="INR248" s="22"/>
      <c r="INS248" s="22"/>
      <c r="INT248" s="22"/>
      <c r="INU248" s="22"/>
      <c r="INV248" s="22"/>
      <c r="INW248" s="22"/>
      <c r="INX248" s="22"/>
      <c r="INY248" s="22"/>
      <c r="INZ248" s="22"/>
      <c r="IOA248" s="22"/>
      <c r="IOB248" s="22"/>
      <c r="IOC248" s="22"/>
      <c r="IOD248" s="22"/>
      <c r="IOE248" s="22"/>
      <c r="IOF248" s="22"/>
      <c r="IOG248" s="22"/>
      <c r="IOH248" s="22"/>
      <c r="IOI248" s="22"/>
      <c r="IOJ248" s="22"/>
      <c r="IOK248" s="22"/>
      <c r="IOL248" s="22"/>
      <c r="IOM248" s="22"/>
      <c r="ION248" s="22"/>
      <c r="IOO248" s="22"/>
      <c r="IOP248" s="22"/>
      <c r="IOQ248" s="22"/>
      <c r="IOR248" s="22"/>
      <c r="IOS248" s="22"/>
      <c r="IOT248" s="22"/>
      <c r="IOU248" s="22"/>
      <c r="IOV248" s="22"/>
      <c r="IOW248" s="22"/>
      <c r="IOX248" s="22"/>
      <c r="IOY248" s="22"/>
      <c r="IOZ248" s="22"/>
      <c r="IPA248" s="22"/>
      <c r="IPB248" s="22"/>
      <c r="IPC248" s="22"/>
      <c r="IPD248" s="22"/>
      <c r="IPE248" s="22"/>
      <c r="IPF248" s="22"/>
      <c r="IPG248" s="22"/>
      <c r="IPH248" s="22"/>
      <c r="IPI248" s="22"/>
      <c r="IPJ248" s="22"/>
      <c r="IPK248" s="22"/>
      <c r="IPL248" s="22"/>
      <c r="IPM248" s="22"/>
      <c r="IPN248" s="22"/>
      <c r="IPO248" s="22"/>
      <c r="IPP248" s="22"/>
      <c r="IPQ248" s="22"/>
      <c r="IPR248" s="22"/>
      <c r="IPS248" s="22"/>
      <c r="IPT248" s="22"/>
      <c r="IPU248" s="22"/>
      <c r="IPV248" s="22"/>
      <c r="IPW248" s="22"/>
      <c r="IPX248" s="22"/>
      <c r="IPY248" s="22"/>
      <c r="IPZ248" s="22"/>
      <c r="IQA248" s="22"/>
      <c r="IQB248" s="22"/>
      <c r="IQC248" s="22"/>
      <c r="IQD248" s="22"/>
      <c r="IQE248" s="22"/>
      <c r="IQF248" s="22"/>
      <c r="IQG248" s="22"/>
      <c r="IQH248" s="22"/>
      <c r="IQI248" s="22"/>
      <c r="IQJ248" s="22"/>
      <c r="IQK248" s="22"/>
      <c r="IQL248" s="22"/>
      <c r="IQM248" s="22"/>
      <c r="IQN248" s="22"/>
      <c r="IQO248" s="22"/>
      <c r="IQP248" s="22"/>
      <c r="IQQ248" s="22"/>
      <c r="IQR248" s="22"/>
      <c r="IQS248" s="22"/>
      <c r="IQT248" s="22"/>
      <c r="IQU248" s="22"/>
      <c r="IQV248" s="22"/>
      <c r="IQW248" s="22"/>
      <c r="IQX248" s="22"/>
      <c r="IQY248" s="22"/>
      <c r="IQZ248" s="22"/>
      <c r="IRA248" s="22"/>
      <c r="IRB248" s="22"/>
      <c r="IRC248" s="22"/>
      <c r="IRD248" s="22"/>
      <c r="IRE248" s="22"/>
      <c r="IRF248" s="22"/>
      <c r="IRG248" s="22"/>
      <c r="IRH248" s="22"/>
      <c r="IRI248" s="22"/>
      <c r="IRJ248" s="22"/>
      <c r="IRK248" s="22"/>
      <c r="IRL248" s="22"/>
      <c r="IRM248" s="22"/>
      <c r="IRN248" s="22"/>
      <c r="IRO248" s="22"/>
      <c r="IRP248" s="22"/>
      <c r="IRQ248" s="22"/>
      <c r="IRR248" s="22"/>
      <c r="IRS248" s="22"/>
      <c r="IRT248" s="22"/>
      <c r="IRU248" s="22"/>
      <c r="IRV248" s="22"/>
      <c r="IRW248" s="22"/>
      <c r="IRX248" s="22"/>
      <c r="IRY248" s="22"/>
      <c r="IRZ248" s="22"/>
      <c r="ISA248" s="22"/>
      <c r="ISB248" s="22"/>
      <c r="ISC248" s="22"/>
      <c r="ISD248" s="22"/>
      <c r="ISE248" s="22"/>
      <c r="ISF248" s="22"/>
      <c r="ISG248" s="22"/>
      <c r="ISH248" s="22"/>
      <c r="ISI248" s="22"/>
      <c r="ISJ248" s="22"/>
      <c r="ISK248" s="22"/>
      <c r="ISL248" s="22"/>
      <c r="ISM248" s="22"/>
      <c r="ISN248" s="22"/>
      <c r="ISO248" s="22"/>
      <c r="ISP248" s="22"/>
      <c r="ISQ248" s="22"/>
      <c r="ISR248" s="22"/>
      <c r="ISS248" s="22"/>
      <c r="IST248" s="22"/>
      <c r="ISU248" s="22"/>
      <c r="ISV248" s="22"/>
      <c r="ISW248" s="22"/>
      <c r="ISX248" s="22"/>
      <c r="ISY248" s="22"/>
      <c r="ISZ248" s="22"/>
      <c r="ITA248" s="22"/>
      <c r="ITB248" s="22"/>
      <c r="ITC248" s="22"/>
      <c r="ITD248" s="22"/>
      <c r="ITE248" s="22"/>
      <c r="ITF248" s="22"/>
      <c r="ITG248" s="22"/>
      <c r="ITH248" s="22"/>
      <c r="ITI248" s="22"/>
      <c r="ITJ248" s="22"/>
      <c r="ITK248" s="22"/>
      <c r="ITL248" s="22"/>
      <c r="ITM248" s="22"/>
      <c r="ITN248" s="22"/>
      <c r="ITO248" s="22"/>
      <c r="ITP248" s="22"/>
      <c r="ITQ248" s="22"/>
      <c r="ITR248" s="22"/>
      <c r="ITS248" s="22"/>
      <c r="ITT248" s="22"/>
      <c r="ITU248" s="22"/>
      <c r="ITV248" s="22"/>
      <c r="ITW248" s="22"/>
      <c r="ITX248" s="22"/>
      <c r="ITY248" s="22"/>
      <c r="ITZ248" s="22"/>
      <c r="IUA248" s="22"/>
      <c r="IUB248" s="22"/>
      <c r="IUC248" s="22"/>
      <c r="IUD248" s="22"/>
      <c r="IUE248" s="22"/>
      <c r="IUF248" s="22"/>
      <c r="IUG248" s="22"/>
      <c r="IUH248" s="22"/>
      <c r="IUI248" s="22"/>
      <c r="IUJ248" s="22"/>
      <c r="IUK248" s="22"/>
      <c r="IUL248" s="22"/>
      <c r="IUM248" s="22"/>
      <c r="IUN248" s="22"/>
      <c r="IUO248" s="22"/>
      <c r="IUP248" s="22"/>
      <c r="IUQ248" s="22"/>
      <c r="IUR248" s="22"/>
      <c r="IUS248" s="22"/>
      <c r="IUT248" s="22"/>
      <c r="IUU248" s="22"/>
      <c r="IUV248" s="22"/>
      <c r="IUW248" s="22"/>
      <c r="IUX248" s="22"/>
      <c r="IUY248" s="22"/>
      <c r="IUZ248" s="22"/>
      <c r="IVA248" s="22"/>
      <c r="IVB248" s="22"/>
      <c r="IVC248" s="22"/>
      <c r="IVD248" s="22"/>
      <c r="IVE248" s="22"/>
      <c r="IVF248" s="22"/>
      <c r="IVG248" s="22"/>
      <c r="IVH248" s="22"/>
      <c r="IVI248" s="22"/>
      <c r="IVJ248" s="22"/>
      <c r="IVK248" s="22"/>
      <c r="IVL248" s="22"/>
      <c r="IVM248" s="22"/>
      <c r="IVN248" s="22"/>
      <c r="IVO248" s="22"/>
      <c r="IVP248" s="22"/>
      <c r="IVQ248" s="22"/>
      <c r="IVR248" s="22"/>
      <c r="IVS248" s="22"/>
      <c r="IVT248" s="22"/>
      <c r="IVU248" s="22"/>
      <c r="IVV248" s="22"/>
      <c r="IVW248" s="22"/>
      <c r="IVX248" s="22"/>
      <c r="IVY248" s="22"/>
      <c r="IVZ248" s="22"/>
      <c r="IWA248" s="22"/>
      <c r="IWB248" s="22"/>
      <c r="IWC248" s="22"/>
      <c r="IWD248" s="22"/>
      <c r="IWE248" s="22"/>
      <c r="IWF248" s="22"/>
      <c r="IWG248" s="22"/>
      <c r="IWH248" s="22"/>
      <c r="IWI248" s="22"/>
      <c r="IWJ248" s="22"/>
      <c r="IWK248" s="22"/>
      <c r="IWL248" s="22"/>
      <c r="IWM248" s="22"/>
      <c r="IWN248" s="22"/>
      <c r="IWO248" s="22"/>
      <c r="IWP248" s="22"/>
      <c r="IWQ248" s="22"/>
      <c r="IWR248" s="22"/>
      <c r="IWS248" s="22"/>
      <c r="IWT248" s="22"/>
      <c r="IWU248" s="22"/>
      <c r="IWV248" s="22"/>
      <c r="IWW248" s="22"/>
      <c r="IWX248" s="22"/>
      <c r="IWY248" s="22"/>
      <c r="IWZ248" s="22"/>
      <c r="IXA248" s="22"/>
      <c r="IXB248" s="22"/>
      <c r="IXC248" s="22"/>
      <c r="IXD248" s="22"/>
      <c r="IXE248" s="22"/>
      <c r="IXF248" s="22"/>
      <c r="IXG248" s="22"/>
      <c r="IXH248" s="22"/>
      <c r="IXI248" s="22"/>
      <c r="IXJ248" s="22"/>
      <c r="IXK248" s="22"/>
      <c r="IXL248" s="22"/>
      <c r="IXM248" s="22"/>
      <c r="IXN248" s="22"/>
      <c r="IXO248" s="22"/>
      <c r="IXP248" s="22"/>
      <c r="IXQ248" s="22"/>
      <c r="IXR248" s="22"/>
      <c r="IXS248" s="22"/>
      <c r="IXT248" s="22"/>
      <c r="IXU248" s="22"/>
      <c r="IXV248" s="22"/>
      <c r="IXW248" s="22"/>
      <c r="IXX248" s="22"/>
      <c r="IXY248" s="22"/>
      <c r="IXZ248" s="22"/>
      <c r="IYA248" s="22"/>
      <c r="IYB248" s="22"/>
      <c r="IYC248" s="22"/>
      <c r="IYD248" s="22"/>
      <c r="IYE248" s="22"/>
      <c r="IYF248" s="22"/>
      <c r="IYG248" s="22"/>
      <c r="IYH248" s="22"/>
      <c r="IYI248" s="22"/>
      <c r="IYJ248" s="22"/>
      <c r="IYK248" s="22"/>
      <c r="IYL248" s="22"/>
      <c r="IYM248" s="22"/>
      <c r="IYN248" s="22"/>
      <c r="IYO248" s="22"/>
      <c r="IYP248" s="22"/>
      <c r="IYQ248" s="22"/>
      <c r="IYR248" s="22"/>
      <c r="IYS248" s="22"/>
      <c r="IYT248" s="22"/>
      <c r="IYU248" s="22"/>
      <c r="IYV248" s="22"/>
      <c r="IYW248" s="22"/>
      <c r="IYX248" s="22"/>
      <c r="IYY248" s="22"/>
      <c r="IYZ248" s="22"/>
      <c r="IZA248" s="22"/>
      <c r="IZB248" s="22"/>
      <c r="IZC248" s="22"/>
      <c r="IZD248" s="22"/>
      <c r="IZE248" s="22"/>
      <c r="IZF248" s="22"/>
      <c r="IZG248" s="22"/>
      <c r="IZH248" s="22"/>
      <c r="IZI248" s="22"/>
      <c r="IZJ248" s="22"/>
      <c r="IZK248" s="22"/>
      <c r="IZL248" s="22"/>
      <c r="IZM248" s="22"/>
      <c r="IZN248" s="22"/>
      <c r="IZO248" s="22"/>
      <c r="IZP248" s="22"/>
      <c r="IZQ248" s="22"/>
      <c r="IZR248" s="22"/>
      <c r="IZS248" s="22"/>
      <c r="IZT248" s="22"/>
      <c r="IZU248" s="22"/>
      <c r="IZV248" s="22"/>
      <c r="IZW248" s="22"/>
      <c r="IZX248" s="22"/>
      <c r="IZY248" s="22"/>
      <c r="IZZ248" s="22"/>
      <c r="JAA248" s="22"/>
      <c r="JAB248" s="22"/>
      <c r="JAC248" s="22"/>
      <c r="JAD248" s="22"/>
      <c r="JAE248" s="22"/>
      <c r="JAF248" s="22"/>
      <c r="JAG248" s="22"/>
      <c r="JAH248" s="22"/>
      <c r="JAI248" s="22"/>
      <c r="JAJ248" s="22"/>
      <c r="JAK248" s="22"/>
      <c r="JAL248" s="22"/>
      <c r="JAM248" s="22"/>
      <c r="JAN248" s="22"/>
      <c r="JAO248" s="22"/>
      <c r="JAP248" s="22"/>
      <c r="JAQ248" s="22"/>
      <c r="JAR248" s="22"/>
      <c r="JAS248" s="22"/>
      <c r="JAT248" s="22"/>
      <c r="JAU248" s="22"/>
      <c r="JAV248" s="22"/>
      <c r="JAW248" s="22"/>
      <c r="JAX248" s="22"/>
      <c r="JAY248" s="22"/>
      <c r="JAZ248" s="22"/>
      <c r="JBA248" s="22"/>
      <c r="JBB248" s="22"/>
      <c r="JBC248" s="22"/>
      <c r="JBD248" s="22"/>
      <c r="JBE248" s="22"/>
      <c r="JBF248" s="22"/>
      <c r="JBG248" s="22"/>
      <c r="JBH248" s="22"/>
      <c r="JBI248" s="22"/>
      <c r="JBJ248" s="22"/>
      <c r="JBK248" s="22"/>
      <c r="JBL248" s="22"/>
      <c r="JBM248" s="22"/>
      <c r="JBN248" s="22"/>
      <c r="JBO248" s="22"/>
      <c r="JBP248" s="22"/>
      <c r="JBQ248" s="22"/>
      <c r="JBR248" s="22"/>
      <c r="JBS248" s="22"/>
      <c r="JBT248" s="22"/>
      <c r="JBU248" s="22"/>
      <c r="JBV248" s="22"/>
      <c r="JBW248" s="22"/>
      <c r="JBX248" s="22"/>
      <c r="JBY248" s="22"/>
      <c r="JBZ248" s="22"/>
      <c r="JCA248" s="22"/>
      <c r="JCB248" s="22"/>
      <c r="JCC248" s="22"/>
      <c r="JCD248" s="22"/>
      <c r="JCE248" s="22"/>
      <c r="JCF248" s="22"/>
      <c r="JCG248" s="22"/>
      <c r="JCH248" s="22"/>
      <c r="JCI248" s="22"/>
      <c r="JCJ248" s="22"/>
      <c r="JCK248" s="22"/>
      <c r="JCL248" s="22"/>
      <c r="JCM248" s="22"/>
      <c r="JCN248" s="22"/>
      <c r="JCO248" s="22"/>
      <c r="JCP248" s="22"/>
      <c r="JCQ248" s="22"/>
      <c r="JCR248" s="22"/>
      <c r="JCS248" s="22"/>
      <c r="JCT248" s="22"/>
      <c r="JCU248" s="22"/>
      <c r="JCV248" s="22"/>
      <c r="JCW248" s="22"/>
      <c r="JCX248" s="22"/>
      <c r="JCY248" s="22"/>
      <c r="JCZ248" s="22"/>
      <c r="JDA248" s="22"/>
      <c r="JDB248" s="22"/>
      <c r="JDC248" s="22"/>
      <c r="JDD248" s="22"/>
      <c r="JDE248" s="22"/>
      <c r="JDF248" s="22"/>
      <c r="JDG248" s="22"/>
      <c r="JDH248" s="22"/>
      <c r="JDI248" s="22"/>
      <c r="JDJ248" s="22"/>
      <c r="JDK248" s="22"/>
      <c r="JDL248" s="22"/>
      <c r="JDM248" s="22"/>
      <c r="JDN248" s="22"/>
      <c r="JDO248" s="22"/>
      <c r="JDP248" s="22"/>
      <c r="JDQ248" s="22"/>
      <c r="JDR248" s="22"/>
      <c r="JDS248" s="22"/>
      <c r="JDT248" s="22"/>
      <c r="JDU248" s="22"/>
      <c r="JDV248" s="22"/>
      <c r="JDW248" s="22"/>
      <c r="JDX248" s="22"/>
      <c r="JDY248" s="22"/>
      <c r="JDZ248" s="22"/>
      <c r="JEA248" s="22"/>
      <c r="JEB248" s="22"/>
      <c r="JEC248" s="22"/>
      <c r="JED248" s="22"/>
      <c r="JEE248" s="22"/>
      <c r="JEF248" s="22"/>
      <c r="JEG248" s="22"/>
      <c r="JEH248" s="22"/>
      <c r="JEI248" s="22"/>
      <c r="JEJ248" s="22"/>
      <c r="JEK248" s="22"/>
      <c r="JEL248" s="22"/>
      <c r="JEM248" s="22"/>
      <c r="JEN248" s="22"/>
      <c r="JEO248" s="22"/>
      <c r="JEP248" s="22"/>
      <c r="JEQ248" s="22"/>
      <c r="JER248" s="22"/>
      <c r="JES248" s="22"/>
      <c r="JET248" s="22"/>
      <c r="JEU248" s="22"/>
      <c r="JEV248" s="22"/>
      <c r="JEW248" s="22"/>
      <c r="JEX248" s="22"/>
      <c r="JEY248" s="22"/>
      <c r="JEZ248" s="22"/>
      <c r="JFA248" s="22"/>
      <c r="JFB248" s="22"/>
      <c r="JFC248" s="22"/>
      <c r="JFD248" s="22"/>
      <c r="JFE248" s="22"/>
      <c r="JFF248" s="22"/>
      <c r="JFG248" s="22"/>
      <c r="JFH248" s="22"/>
      <c r="JFI248" s="22"/>
      <c r="JFJ248" s="22"/>
      <c r="JFK248" s="22"/>
      <c r="JFL248" s="22"/>
      <c r="JFM248" s="22"/>
      <c r="JFN248" s="22"/>
      <c r="JFO248" s="22"/>
      <c r="JFP248" s="22"/>
      <c r="JFQ248" s="22"/>
      <c r="JFR248" s="22"/>
      <c r="JFS248" s="22"/>
      <c r="JFT248" s="22"/>
      <c r="JFU248" s="22"/>
      <c r="JFV248" s="22"/>
      <c r="JFW248" s="22"/>
      <c r="JFX248" s="22"/>
      <c r="JFY248" s="22"/>
      <c r="JFZ248" s="22"/>
      <c r="JGA248" s="22"/>
      <c r="JGB248" s="22"/>
      <c r="JGC248" s="22"/>
      <c r="JGD248" s="22"/>
      <c r="JGE248" s="22"/>
      <c r="JGF248" s="22"/>
      <c r="JGG248" s="22"/>
      <c r="JGH248" s="22"/>
      <c r="JGI248" s="22"/>
      <c r="JGJ248" s="22"/>
      <c r="JGK248" s="22"/>
      <c r="JGL248" s="22"/>
      <c r="JGM248" s="22"/>
      <c r="JGN248" s="22"/>
      <c r="JGO248" s="22"/>
      <c r="JGP248" s="22"/>
      <c r="JGQ248" s="22"/>
      <c r="JGR248" s="22"/>
      <c r="JGS248" s="22"/>
      <c r="JGT248" s="22"/>
      <c r="JGU248" s="22"/>
      <c r="JGV248" s="22"/>
      <c r="JGW248" s="22"/>
      <c r="JGX248" s="22"/>
      <c r="JGY248" s="22"/>
      <c r="JGZ248" s="22"/>
      <c r="JHA248" s="22"/>
      <c r="JHB248" s="22"/>
      <c r="JHC248" s="22"/>
      <c r="JHD248" s="22"/>
      <c r="JHE248" s="22"/>
      <c r="JHF248" s="22"/>
      <c r="JHG248" s="22"/>
      <c r="JHH248" s="22"/>
      <c r="JHI248" s="22"/>
      <c r="JHJ248" s="22"/>
      <c r="JHK248" s="22"/>
      <c r="JHL248" s="22"/>
      <c r="JHM248" s="22"/>
      <c r="JHN248" s="22"/>
      <c r="JHO248" s="22"/>
      <c r="JHP248" s="22"/>
      <c r="JHQ248" s="22"/>
      <c r="JHR248" s="22"/>
      <c r="JHS248" s="22"/>
      <c r="JHT248" s="22"/>
      <c r="JHU248" s="22"/>
      <c r="JHV248" s="22"/>
      <c r="JHW248" s="22"/>
      <c r="JHX248" s="22"/>
      <c r="JHY248" s="22"/>
      <c r="JHZ248" s="22"/>
      <c r="JIA248" s="22"/>
      <c r="JIB248" s="22"/>
      <c r="JIC248" s="22"/>
      <c r="JID248" s="22"/>
      <c r="JIE248" s="22"/>
      <c r="JIF248" s="22"/>
      <c r="JIG248" s="22"/>
      <c r="JIH248" s="22"/>
      <c r="JII248" s="22"/>
      <c r="JIJ248" s="22"/>
      <c r="JIK248" s="22"/>
      <c r="JIL248" s="22"/>
      <c r="JIM248" s="22"/>
      <c r="JIN248" s="22"/>
      <c r="JIO248" s="22"/>
      <c r="JIP248" s="22"/>
      <c r="JIQ248" s="22"/>
      <c r="JIR248" s="22"/>
      <c r="JIS248" s="22"/>
      <c r="JIT248" s="22"/>
      <c r="JIU248" s="22"/>
      <c r="JIV248" s="22"/>
      <c r="JIW248" s="22"/>
      <c r="JIX248" s="22"/>
      <c r="JIY248" s="22"/>
      <c r="JIZ248" s="22"/>
      <c r="JJA248" s="22"/>
      <c r="JJB248" s="22"/>
      <c r="JJC248" s="22"/>
      <c r="JJD248" s="22"/>
      <c r="JJE248" s="22"/>
      <c r="JJF248" s="22"/>
      <c r="JJG248" s="22"/>
      <c r="JJH248" s="22"/>
      <c r="JJI248" s="22"/>
      <c r="JJJ248" s="22"/>
      <c r="JJK248" s="22"/>
      <c r="JJL248" s="22"/>
      <c r="JJM248" s="22"/>
      <c r="JJN248" s="22"/>
      <c r="JJO248" s="22"/>
      <c r="JJP248" s="22"/>
      <c r="JJQ248" s="22"/>
      <c r="JJR248" s="22"/>
      <c r="JJS248" s="22"/>
      <c r="JJT248" s="22"/>
      <c r="JJU248" s="22"/>
      <c r="JJV248" s="22"/>
      <c r="JJW248" s="22"/>
      <c r="JJX248" s="22"/>
      <c r="JJY248" s="22"/>
      <c r="JJZ248" s="22"/>
      <c r="JKA248" s="22"/>
      <c r="JKB248" s="22"/>
      <c r="JKC248" s="22"/>
      <c r="JKD248" s="22"/>
      <c r="JKE248" s="22"/>
      <c r="JKF248" s="22"/>
      <c r="JKG248" s="22"/>
      <c r="JKH248" s="22"/>
      <c r="JKI248" s="22"/>
      <c r="JKJ248" s="22"/>
      <c r="JKK248" s="22"/>
      <c r="JKL248" s="22"/>
      <c r="JKM248" s="22"/>
      <c r="JKN248" s="22"/>
      <c r="JKO248" s="22"/>
      <c r="JKP248" s="22"/>
      <c r="JKQ248" s="22"/>
      <c r="JKR248" s="22"/>
      <c r="JKS248" s="22"/>
      <c r="JKT248" s="22"/>
      <c r="JKU248" s="22"/>
      <c r="JKV248" s="22"/>
      <c r="JKW248" s="22"/>
      <c r="JKX248" s="22"/>
      <c r="JKY248" s="22"/>
      <c r="JKZ248" s="22"/>
      <c r="JLA248" s="22"/>
      <c r="JLB248" s="22"/>
      <c r="JLC248" s="22"/>
      <c r="JLD248" s="22"/>
      <c r="JLE248" s="22"/>
      <c r="JLF248" s="22"/>
      <c r="JLG248" s="22"/>
      <c r="JLH248" s="22"/>
      <c r="JLI248" s="22"/>
      <c r="JLJ248" s="22"/>
      <c r="JLK248" s="22"/>
      <c r="JLL248" s="22"/>
      <c r="JLM248" s="22"/>
      <c r="JLN248" s="22"/>
      <c r="JLO248" s="22"/>
      <c r="JLP248" s="22"/>
      <c r="JLQ248" s="22"/>
      <c r="JLR248" s="22"/>
      <c r="JLS248" s="22"/>
      <c r="JLT248" s="22"/>
      <c r="JLU248" s="22"/>
      <c r="JLV248" s="22"/>
      <c r="JLW248" s="22"/>
      <c r="JLX248" s="22"/>
      <c r="JLY248" s="22"/>
      <c r="JLZ248" s="22"/>
      <c r="JMA248" s="22"/>
      <c r="JMB248" s="22"/>
      <c r="JMC248" s="22"/>
      <c r="JMD248" s="22"/>
      <c r="JME248" s="22"/>
      <c r="JMF248" s="22"/>
      <c r="JMG248" s="22"/>
      <c r="JMH248" s="22"/>
      <c r="JMI248" s="22"/>
      <c r="JMJ248" s="22"/>
      <c r="JMK248" s="22"/>
      <c r="JML248" s="22"/>
      <c r="JMM248" s="22"/>
      <c r="JMN248" s="22"/>
      <c r="JMO248" s="22"/>
      <c r="JMP248" s="22"/>
      <c r="JMQ248" s="22"/>
      <c r="JMR248" s="22"/>
      <c r="JMS248" s="22"/>
      <c r="JMT248" s="22"/>
      <c r="JMU248" s="22"/>
      <c r="JMV248" s="22"/>
      <c r="JMW248" s="22"/>
      <c r="JMX248" s="22"/>
      <c r="JMY248" s="22"/>
      <c r="JMZ248" s="22"/>
      <c r="JNA248" s="22"/>
      <c r="JNB248" s="22"/>
      <c r="JNC248" s="22"/>
      <c r="JND248" s="22"/>
      <c r="JNE248" s="22"/>
      <c r="JNF248" s="22"/>
      <c r="JNG248" s="22"/>
      <c r="JNH248" s="22"/>
      <c r="JNI248" s="22"/>
      <c r="JNJ248" s="22"/>
      <c r="JNK248" s="22"/>
      <c r="JNL248" s="22"/>
      <c r="JNM248" s="22"/>
      <c r="JNN248" s="22"/>
      <c r="JNO248" s="22"/>
      <c r="JNP248" s="22"/>
      <c r="JNQ248" s="22"/>
      <c r="JNR248" s="22"/>
      <c r="JNS248" s="22"/>
      <c r="JNT248" s="22"/>
      <c r="JNU248" s="22"/>
      <c r="JNV248" s="22"/>
      <c r="JNW248" s="22"/>
      <c r="JNX248" s="22"/>
      <c r="JNY248" s="22"/>
      <c r="JNZ248" s="22"/>
      <c r="JOA248" s="22"/>
      <c r="JOB248" s="22"/>
      <c r="JOC248" s="22"/>
      <c r="JOD248" s="22"/>
      <c r="JOE248" s="22"/>
      <c r="JOF248" s="22"/>
      <c r="JOG248" s="22"/>
      <c r="JOH248" s="22"/>
      <c r="JOI248" s="22"/>
      <c r="JOJ248" s="22"/>
      <c r="JOK248" s="22"/>
      <c r="JOL248" s="22"/>
      <c r="JOM248" s="22"/>
      <c r="JON248" s="22"/>
      <c r="JOO248" s="22"/>
      <c r="JOP248" s="22"/>
      <c r="JOQ248" s="22"/>
      <c r="JOR248" s="22"/>
      <c r="JOS248" s="22"/>
      <c r="JOT248" s="22"/>
      <c r="JOU248" s="22"/>
      <c r="JOV248" s="22"/>
      <c r="JOW248" s="22"/>
      <c r="JOX248" s="22"/>
      <c r="JOY248" s="22"/>
      <c r="JOZ248" s="22"/>
      <c r="JPA248" s="22"/>
      <c r="JPB248" s="22"/>
      <c r="JPC248" s="22"/>
      <c r="JPD248" s="22"/>
      <c r="JPE248" s="22"/>
      <c r="JPF248" s="22"/>
      <c r="JPG248" s="22"/>
      <c r="JPH248" s="22"/>
      <c r="JPI248" s="22"/>
      <c r="JPJ248" s="22"/>
      <c r="JPK248" s="22"/>
      <c r="JPL248" s="22"/>
      <c r="JPM248" s="22"/>
      <c r="JPN248" s="22"/>
      <c r="JPO248" s="22"/>
      <c r="JPP248" s="22"/>
      <c r="JPQ248" s="22"/>
      <c r="JPR248" s="22"/>
      <c r="JPS248" s="22"/>
      <c r="JPT248" s="22"/>
      <c r="JPU248" s="22"/>
      <c r="JPV248" s="22"/>
      <c r="JPW248" s="22"/>
      <c r="JPX248" s="22"/>
      <c r="JPY248" s="22"/>
      <c r="JPZ248" s="22"/>
      <c r="JQA248" s="22"/>
      <c r="JQB248" s="22"/>
      <c r="JQC248" s="22"/>
      <c r="JQD248" s="22"/>
      <c r="JQE248" s="22"/>
      <c r="JQF248" s="22"/>
      <c r="JQG248" s="22"/>
      <c r="JQH248" s="22"/>
      <c r="JQI248" s="22"/>
      <c r="JQJ248" s="22"/>
      <c r="JQK248" s="22"/>
      <c r="JQL248" s="22"/>
      <c r="JQM248" s="22"/>
      <c r="JQN248" s="22"/>
      <c r="JQO248" s="22"/>
      <c r="JQP248" s="22"/>
      <c r="JQQ248" s="22"/>
      <c r="JQR248" s="22"/>
      <c r="JQS248" s="22"/>
      <c r="JQT248" s="22"/>
      <c r="JQU248" s="22"/>
      <c r="JQV248" s="22"/>
      <c r="JQW248" s="22"/>
      <c r="JQX248" s="22"/>
      <c r="JQY248" s="22"/>
      <c r="JQZ248" s="22"/>
      <c r="JRA248" s="22"/>
      <c r="JRB248" s="22"/>
      <c r="JRC248" s="22"/>
      <c r="JRD248" s="22"/>
      <c r="JRE248" s="22"/>
      <c r="JRF248" s="22"/>
      <c r="JRG248" s="22"/>
      <c r="JRH248" s="22"/>
      <c r="JRI248" s="22"/>
      <c r="JRJ248" s="22"/>
      <c r="JRK248" s="22"/>
      <c r="JRL248" s="22"/>
      <c r="JRM248" s="22"/>
      <c r="JRN248" s="22"/>
      <c r="JRO248" s="22"/>
      <c r="JRP248" s="22"/>
      <c r="JRQ248" s="22"/>
      <c r="JRR248" s="22"/>
      <c r="JRS248" s="22"/>
      <c r="JRT248" s="22"/>
      <c r="JRU248" s="22"/>
      <c r="JRV248" s="22"/>
      <c r="JRW248" s="22"/>
      <c r="JRX248" s="22"/>
      <c r="JRY248" s="22"/>
      <c r="JRZ248" s="22"/>
      <c r="JSA248" s="22"/>
      <c r="JSB248" s="22"/>
      <c r="JSC248" s="22"/>
      <c r="JSD248" s="22"/>
      <c r="JSE248" s="22"/>
      <c r="JSF248" s="22"/>
      <c r="JSG248" s="22"/>
      <c r="JSH248" s="22"/>
      <c r="JSI248" s="22"/>
      <c r="JSJ248" s="22"/>
      <c r="JSK248" s="22"/>
      <c r="JSL248" s="22"/>
      <c r="JSM248" s="22"/>
      <c r="JSN248" s="22"/>
      <c r="JSO248" s="22"/>
      <c r="JSP248" s="22"/>
      <c r="JSQ248" s="22"/>
      <c r="JSR248" s="22"/>
      <c r="JSS248" s="22"/>
      <c r="JST248" s="22"/>
      <c r="JSU248" s="22"/>
      <c r="JSV248" s="22"/>
      <c r="JSW248" s="22"/>
      <c r="JSX248" s="22"/>
      <c r="JSY248" s="22"/>
      <c r="JSZ248" s="22"/>
      <c r="JTA248" s="22"/>
      <c r="JTB248" s="22"/>
      <c r="JTC248" s="22"/>
      <c r="JTD248" s="22"/>
      <c r="JTE248" s="22"/>
      <c r="JTF248" s="22"/>
      <c r="JTG248" s="22"/>
      <c r="JTH248" s="22"/>
      <c r="JTI248" s="22"/>
      <c r="JTJ248" s="22"/>
      <c r="JTK248" s="22"/>
      <c r="JTL248" s="22"/>
      <c r="JTM248" s="22"/>
      <c r="JTN248" s="22"/>
      <c r="JTO248" s="22"/>
      <c r="JTP248" s="22"/>
      <c r="JTQ248" s="22"/>
      <c r="JTR248" s="22"/>
      <c r="JTS248" s="22"/>
      <c r="JTT248" s="22"/>
      <c r="JTU248" s="22"/>
      <c r="JTV248" s="22"/>
      <c r="JTW248" s="22"/>
      <c r="JTX248" s="22"/>
      <c r="JTY248" s="22"/>
      <c r="JTZ248" s="22"/>
      <c r="JUA248" s="22"/>
      <c r="JUB248" s="22"/>
      <c r="JUC248" s="22"/>
      <c r="JUD248" s="22"/>
      <c r="JUE248" s="22"/>
      <c r="JUF248" s="22"/>
      <c r="JUG248" s="22"/>
      <c r="JUH248" s="22"/>
      <c r="JUI248" s="22"/>
      <c r="JUJ248" s="22"/>
      <c r="JUK248" s="22"/>
      <c r="JUL248" s="22"/>
      <c r="JUM248" s="22"/>
      <c r="JUN248" s="22"/>
      <c r="JUO248" s="22"/>
      <c r="JUP248" s="22"/>
      <c r="JUQ248" s="22"/>
      <c r="JUR248" s="22"/>
      <c r="JUS248" s="22"/>
      <c r="JUT248" s="22"/>
      <c r="JUU248" s="22"/>
      <c r="JUV248" s="22"/>
      <c r="JUW248" s="22"/>
      <c r="JUX248" s="22"/>
      <c r="JUY248" s="22"/>
      <c r="JUZ248" s="22"/>
      <c r="JVA248" s="22"/>
      <c r="JVB248" s="22"/>
      <c r="JVC248" s="22"/>
      <c r="JVD248" s="22"/>
      <c r="JVE248" s="22"/>
      <c r="JVF248" s="22"/>
      <c r="JVG248" s="22"/>
      <c r="JVH248" s="22"/>
      <c r="JVI248" s="22"/>
      <c r="JVJ248" s="22"/>
      <c r="JVK248" s="22"/>
      <c r="JVL248" s="22"/>
      <c r="JVM248" s="22"/>
      <c r="JVN248" s="22"/>
      <c r="JVO248" s="22"/>
      <c r="JVP248" s="22"/>
      <c r="JVQ248" s="22"/>
      <c r="JVR248" s="22"/>
      <c r="JVS248" s="22"/>
      <c r="JVT248" s="22"/>
      <c r="JVU248" s="22"/>
      <c r="JVV248" s="22"/>
      <c r="JVW248" s="22"/>
      <c r="JVX248" s="22"/>
      <c r="JVY248" s="22"/>
      <c r="JVZ248" s="22"/>
      <c r="JWA248" s="22"/>
      <c r="JWB248" s="22"/>
      <c r="JWC248" s="22"/>
      <c r="JWD248" s="22"/>
      <c r="JWE248" s="22"/>
      <c r="JWF248" s="22"/>
      <c r="JWG248" s="22"/>
      <c r="JWH248" s="22"/>
      <c r="JWI248" s="22"/>
      <c r="JWJ248" s="22"/>
      <c r="JWK248" s="22"/>
      <c r="JWL248" s="22"/>
      <c r="JWM248" s="22"/>
      <c r="JWN248" s="22"/>
      <c r="JWO248" s="22"/>
      <c r="JWP248" s="22"/>
      <c r="JWQ248" s="22"/>
      <c r="JWR248" s="22"/>
      <c r="JWS248" s="22"/>
      <c r="JWT248" s="22"/>
      <c r="JWU248" s="22"/>
      <c r="JWV248" s="22"/>
      <c r="JWW248" s="22"/>
      <c r="JWX248" s="22"/>
      <c r="JWY248" s="22"/>
      <c r="JWZ248" s="22"/>
      <c r="JXA248" s="22"/>
      <c r="JXB248" s="22"/>
      <c r="JXC248" s="22"/>
      <c r="JXD248" s="22"/>
      <c r="JXE248" s="22"/>
      <c r="JXF248" s="22"/>
      <c r="JXG248" s="22"/>
      <c r="JXH248" s="22"/>
      <c r="JXI248" s="22"/>
      <c r="JXJ248" s="22"/>
      <c r="JXK248" s="22"/>
      <c r="JXL248" s="22"/>
      <c r="JXM248" s="22"/>
      <c r="JXN248" s="22"/>
      <c r="JXO248" s="22"/>
      <c r="JXP248" s="22"/>
      <c r="JXQ248" s="22"/>
      <c r="JXR248" s="22"/>
      <c r="JXS248" s="22"/>
      <c r="JXT248" s="22"/>
      <c r="JXU248" s="22"/>
      <c r="JXV248" s="22"/>
      <c r="JXW248" s="22"/>
      <c r="JXX248" s="22"/>
      <c r="JXY248" s="22"/>
      <c r="JXZ248" s="22"/>
      <c r="JYA248" s="22"/>
      <c r="JYB248" s="22"/>
      <c r="JYC248" s="22"/>
      <c r="JYD248" s="22"/>
      <c r="JYE248" s="22"/>
      <c r="JYF248" s="22"/>
      <c r="JYG248" s="22"/>
      <c r="JYH248" s="22"/>
      <c r="JYI248" s="22"/>
      <c r="JYJ248" s="22"/>
      <c r="JYK248" s="22"/>
      <c r="JYL248" s="22"/>
      <c r="JYM248" s="22"/>
      <c r="JYN248" s="22"/>
      <c r="JYO248" s="22"/>
      <c r="JYP248" s="22"/>
      <c r="JYQ248" s="22"/>
      <c r="JYR248" s="22"/>
      <c r="JYS248" s="22"/>
      <c r="JYT248" s="22"/>
      <c r="JYU248" s="22"/>
      <c r="JYV248" s="22"/>
      <c r="JYW248" s="22"/>
      <c r="JYX248" s="22"/>
      <c r="JYY248" s="22"/>
      <c r="JYZ248" s="22"/>
      <c r="JZA248" s="22"/>
      <c r="JZB248" s="22"/>
      <c r="JZC248" s="22"/>
      <c r="JZD248" s="22"/>
      <c r="JZE248" s="22"/>
      <c r="JZF248" s="22"/>
      <c r="JZG248" s="22"/>
      <c r="JZH248" s="22"/>
      <c r="JZI248" s="22"/>
      <c r="JZJ248" s="22"/>
      <c r="JZK248" s="22"/>
      <c r="JZL248" s="22"/>
      <c r="JZM248" s="22"/>
      <c r="JZN248" s="22"/>
      <c r="JZO248" s="22"/>
      <c r="JZP248" s="22"/>
      <c r="JZQ248" s="22"/>
      <c r="JZR248" s="22"/>
      <c r="JZS248" s="22"/>
      <c r="JZT248" s="22"/>
      <c r="JZU248" s="22"/>
      <c r="JZV248" s="22"/>
      <c r="JZW248" s="22"/>
      <c r="JZX248" s="22"/>
      <c r="JZY248" s="22"/>
      <c r="JZZ248" s="22"/>
      <c r="KAA248" s="22"/>
      <c r="KAB248" s="22"/>
      <c r="KAC248" s="22"/>
      <c r="KAD248" s="22"/>
      <c r="KAE248" s="22"/>
      <c r="KAF248" s="22"/>
      <c r="KAG248" s="22"/>
      <c r="KAH248" s="22"/>
      <c r="KAI248" s="22"/>
      <c r="KAJ248" s="22"/>
      <c r="KAK248" s="22"/>
      <c r="KAL248" s="22"/>
      <c r="KAM248" s="22"/>
      <c r="KAN248" s="22"/>
      <c r="KAO248" s="22"/>
      <c r="KAP248" s="22"/>
      <c r="KAQ248" s="22"/>
      <c r="KAR248" s="22"/>
      <c r="KAS248" s="22"/>
      <c r="KAT248" s="22"/>
      <c r="KAU248" s="22"/>
      <c r="KAV248" s="22"/>
      <c r="KAW248" s="22"/>
      <c r="KAX248" s="22"/>
      <c r="KAY248" s="22"/>
      <c r="KAZ248" s="22"/>
      <c r="KBA248" s="22"/>
      <c r="KBB248" s="22"/>
      <c r="KBC248" s="22"/>
      <c r="KBD248" s="22"/>
      <c r="KBE248" s="22"/>
      <c r="KBF248" s="22"/>
      <c r="KBG248" s="22"/>
      <c r="KBH248" s="22"/>
      <c r="KBI248" s="22"/>
      <c r="KBJ248" s="22"/>
      <c r="KBK248" s="22"/>
      <c r="KBL248" s="22"/>
      <c r="KBM248" s="22"/>
      <c r="KBN248" s="22"/>
      <c r="KBO248" s="22"/>
      <c r="KBP248" s="22"/>
      <c r="KBQ248" s="22"/>
      <c r="KBR248" s="22"/>
      <c r="KBS248" s="22"/>
      <c r="KBT248" s="22"/>
      <c r="KBU248" s="22"/>
      <c r="KBV248" s="22"/>
      <c r="KBW248" s="22"/>
      <c r="KBX248" s="22"/>
      <c r="KBY248" s="22"/>
      <c r="KBZ248" s="22"/>
      <c r="KCA248" s="22"/>
      <c r="KCB248" s="22"/>
      <c r="KCC248" s="22"/>
      <c r="KCD248" s="22"/>
      <c r="KCE248" s="22"/>
      <c r="KCF248" s="22"/>
      <c r="KCG248" s="22"/>
      <c r="KCH248" s="22"/>
      <c r="KCI248" s="22"/>
      <c r="KCJ248" s="22"/>
      <c r="KCK248" s="22"/>
      <c r="KCL248" s="22"/>
      <c r="KCM248" s="22"/>
      <c r="KCN248" s="22"/>
      <c r="KCO248" s="22"/>
      <c r="KCP248" s="22"/>
      <c r="KCQ248" s="22"/>
      <c r="KCR248" s="22"/>
      <c r="KCS248" s="22"/>
      <c r="KCT248" s="22"/>
      <c r="KCU248" s="22"/>
      <c r="KCV248" s="22"/>
      <c r="KCW248" s="22"/>
      <c r="KCX248" s="22"/>
      <c r="KCY248" s="22"/>
      <c r="KCZ248" s="22"/>
      <c r="KDA248" s="22"/>
      <c r="KDB248" s="22"/>
      <c r="KDC248" s="22"/>
      <c r="KDD248" s="22"/>
      <c r="KDE248" s="22"/>
      <c r="KDF248" s="22"/>
      <c r="KDG248" s="22"/>
      <c r="KDH248" s="22"/>
      <c r="KDI248" s="22"/>
      <c r="KDJ248" s="22"/>
      <c r="KDK248" s="22"/>
      <c r="KDL248" s="22"/>
      <c r="KDM248" s="22"/>
      <c r="KDN248" s="22"/>
      <c r="KDO248" s="22"/>
      <c r="KDP248" s="22"/>
      <c r="KDQ248" s="22"/>
      <c r="KDR248" s="22"/>
      <c r="KDS248" s="22"/>
      <c r="KDT248" s="22"/>
      <c r="KDU248" s="22"/>
      <c r="KDV248" s="22"/>
      <c r="KDW248" s="22"/>
      <c r="KDX248" s="22"/>
      <c r="KDY248" s="22"/>
      <c r="KDZ248" s="22"/>
      <c r="KEA248" s="22"/>
      <c r="KEB248" s="22"/>
      <c r="KEC248" s="22"/>
      <c r="KED248" s="22"/>
      <c r="KEE248" s="22"/>
      <c r="KEF248" s="22"/>
      <c r="KEG248" s="22"/>
      <c r="KEH248" s="22"/>
      <c r="KEI248" s="22"/>
      <c r="KEJ248" s="22"/>
      <c r="KEK248" s="22"/>
      <c r="KEL248" s="22"/>
      <c r="KEM248" s="22"/>
      <c r="KEN248" s="22"/>
      <c r="KEO248" s="22"/>
      <c r="KEP248" s="22"/>
      <c r="KEQ248" s="22"/>
      <c r="KER248" s="22"/>
      <c r="KES248" s="22"/>
      <c r="KET248" s="22"/>
      <c r="KEU248" s="22"/>
      <c r="KEV248" s="22"/>
      <c r="KEW248" s="22"/>
      <c r="KEX248" s="22"/>
      <c r="KEY248" s="22"/>
      <c r="KEZ248" s="22"/>
      <c r="KFA248" s="22"/>
      <c r="KFB248" s="22"/>
      <c r="KFC248" s="22"/>
      <c r="KFD248" s="22"/>
      <c r="KFE248" s="22"/>
      <c r="KFF248" s="22"/>
      <c r="KFG248" s="22"/>
      <c r="KFH248" s="22"/>
      <c r="KFI248" s="22"/>
      <c r="KFJ248" s="22"/>
      <c r="KFK248" s="22"/>
      <c r="KFL248" s="22"/>
      <c r="KFM248" s="22"/>
      <c r="KFN248" s="22"/>
      <c r="KFO248" s="22"/>
      <c r="KFP248" s="22"/>
      <c r="KFQ248" s="22"/>
      <c r="KFR248" s="22"/>
      <c r="KFS248" s="22"/>
      <c r="KFT248" s="22"/>
      <c r="KFU248" s="22"/>
      <c r="KFV248" s="22"/>
      <c r="KFW248" s="22"/>
      <c r="KFX248" s="22"/>
      <c r="KFY248" s="22"/>
      <c r="KFZ248" s="22"/>
      <c r="KGA248" s="22"/>
      <c r="KGB248" s="22"/>
      <c r="KGC248" s="22"/>
      <c r="KGD248" s="22"/>
      <c r="KGE248" s="22"/>
      <c r="KGF248" s="22"/>
      <c r="KGG248" s="22"/>
      <c r="KGH248" s="22"/>
      <c r="KGI248" s="22"/>
      <c r="KGJ248" s="22"/>
      <c r="KGK248" s="22"/>
      <c r="KGL248" s="22"/>
      <c r="KGM248" s="22"/>
      <c r="KGN248" s="22"/>
      <c r="KGO248" s="22"/>
      <c r="KGP248" s="22"/>
      <c r="KGQ248" s="22"/>
      <c r="KGR248" s="22"/>
      <c r="KGS248" s="22"/>
      <c r="KGT248" s="22"/>
      <c r="KGU248" s="22"/>
      <c r="KGV248" s="22"/>
      <c r="KGW248" s="22"/>
      <c r="KGX248" s="22"/>
      <c r="KGY248" s="22"/>
      <c r="KGZ248" s="22"/>
      <c r="KHA248" s="22"/>
      <c r="KHB248" s="22"/>
      <c r="KHC248" s="22"/>
      <c r="KHD248" s="22"/>
      <c r="KHE248" s="22"/>
      <c r="KHF248" s="22"/>
      <c r="KHG248" s="22"/>
      <c r="KHH248" s="22"/>
      <c r="KHI248" s="22"/>
      <c r="KHJ248" s="22"/>
      <c r="KHK248" s="22"/>
      <c r="KHL248" s="22"/>
      <c r="KHM248" s="22"/>
      <c r="KHN248" s="22"/>
      <c r="KHO248" s="22"/>
      <c r="KHP248" s="22"/>
      <c r="KHQ248" s="22"/>
      <c r="KHR248" s="22"/>
      <c r="KHS248" s="22"/>
      <c r="KHT248" s="22"/>
      <c r="KHU248" s="22"/>
      <c r="KHV248" s="22"/>
      <c r="KHW248" s="22"/>
      <c r="KHX248" s="22"/>
      <c r="KHY248" s="22"/>
      <c r="KHZ248" s="22"/>
      <c r="KIA248" s="22"/>
      <c r="KIB248" s="22"/>
      <c r="KIC248" s="22"/>
      <c r="KID248" s="22"/>
      <c r="KIE248" s="22"/>
      <c r="KIF248" s="22"/>
      <c r="KIG248" s="22"/>
      <c r="KIH248" s="22"/>
      <c r="KII248" s="22"/>
      <c r="KIJ248" s="22"/>
      <c r="KIK248" s="22"/>
      <c r="KIL248" s="22"/>
      <c r="KIM248" s="22"/>
      <c r="KIN248" s="22"/>
      <c r="KIO248" s="22"/>
      <c r="KIP248" s="22"/>
      <c r="KIQ248" s="22"/>
      <c r="KIR248" s="22"/>
      <c r="KIS248" s="22"/>
      <c r="KIT248" s="22"/>
      <c r="KIU248" s="22"/>
      <c r="KIV248" s="22"/>
      <c r="KIW248" s="22"/>
      <c r="KIX248" s="22"/>
      <c r="KIY248" s="22"/>
      <c r="KIZ248" s="22"/>
      <c r="KJA248" s="22"/>
      <c r="KJB248" s="22"/>
      <c r="KJC248" s="22"/>
      <c r="KJD248" s="22"/>
      <c r="KJE248" s="22"/>
      <c r="KJF248" s="22"/>
      <c r="KJG248" s="22"/>
      <c r="KJH248" s="22"/>
      <c r="KJI248" s="22"/>
      <c r="KJJ248" s="22"/>
      <c r="KJK248" s="22"/>
      <c r="KJL248" s="22"/>
      <c r="KJM248" s="22"/>
      <c r="KJN248" s="22"/>
      <c r="KJO248" s="22"/>
      <c r="KJP248" s="22"/>
      <c r="KJQ248" s="22"/>
      <c r="KJR248" s="22"/>
      <c r="KJS248" s="22"/>
      <c r="KJT248" s="22"/>
      <c r="KJU248" s="22"/>
      <c r="KJV248" s="22"/>
      <c r="KJW248" s="22"/>
      <c r="KJX248" s="22"/>
      <c r="KJY248" s="22"/>
      <c r="KJZ248" s="22"/>
      <c r="KKA248" s="22"/>
      <c r="KKB248" s="22"/>
      <c r="KKC248" s="22"/>
      <c r="KKD248" s="22"/>
      <c r="KKE248" s="22"/>
      <c r="KKF248" s="22"/>
      <c r="KKG248" s="22"/>
      <c r="KKH248" s="22"/>
      <c r="KKI248" s="22"/>
      <c r="KKJ248" s="22"/>
      <c r="KKK248" s="22"/>
      <c r="KKL248" s="22"/>
      <c r="KKM248" s="22"/>
      <c r="KKN248" s="22"/>
      <c r="KKO248" s="22"/>
      <c r="KKP248" s="22"/>
      <c r="KKQ248" s="22"/>
      <c r="KKR248" s="22"/>
      <c r="KKS248" s="22"/>
      <c r="KKT248" s="22"/>
      <c r="KKU248" s="22"/>
      <c r="KKV248" s="22"/>
      <c r="KKW248" s="22"/>
      <c r="KKX248" s="22"/>
      <c r="KKY248" s="22"/>
      <c r="KKZ248" s="22"/>
      <c r="KLA248" s="22"/>
      <c r="KLB248" s="22"/>
      <c r="KLC248" s="22"/>
      <c r="KLD248" s="22"/>
      <c r="KLE248" s="22"/>
      <c r="KLF248" s="22"/>
      <c r="KLG248" s="22"/>
      <c r="KLH248" s="22"/>
      <c r="KLI248" s="22"/>
      <c r="KLJ248" s="22"/>
      <c r="KLK248" s="22"/>
      <c r="KLL248" s="22"/>
      <c r="KLM248" s="22"/>
      <c r="KLN248" s="22"/>
      <c r="KLO248" s="22"/>
      <c r="KLP248" s="22"/>
      <c r="KLQ248" s="22"/>
      <c r="KLR248" s="22"/>
      <c r="KLS248" s="22"/>
      <c r="KLT248" s="22"/>
      <c r="KLU248" s="22"/>
      <c r="KLV248" s="22"/>
      <c r="KLW248" s="22"/>
      <c r="KLX248" s="22"/>
      <c r="KLY248" s="22"/>
      <c r="KLZ248" s="22"/>
      <c r="KMA248" s="22"/>
      <c r="KMB248" s="22"/>
      <c r="KMC248" s="22"/>
      <c r="KMD248" s="22"/>
      <c r="KME248" s="22"/>
      <c r="KMF248" s="22"/>
      <c r="KMG248" s="22"/>
      <c r="KMH248" s="22"/>
      <c r="KMI248" s="22"/>
      <c r="KMJ248" s="22"/>
      <c r="KMK248" s="22"/>
      <c r="KML248" s="22"/>
      <c r="KMM248" s="22"/>
      <c r="KMN248" s="22"/>
      <c r="KMO248" s="22"/>
      <c r="KMP248" s="22"/>
      <c r="KMQ248" s="22"/>
      <c r="KMR248" s="22"/>
      <c r="KMS248" s="22"/>
      <c r="KMT248" s="22"/>
      <c r="KMU248" s="22"/>
      <c r="KMV248" s="22"/>
      <c r="KMW248" s="22"/>
      <c r="KMX248" s="22"/>
      <c r="KMY248" s="22"/>
      <c r="KMZ248" s="22"/>
      <c r="KNA248" s="22"/>
      <c r="KNB248" s="22"/>
      <c r="KNC248" s="22"/>
      <c r="KND248" s="22"/>
      <c r="KNE248" s="22"/>
      <c r="KNF248" s="22"/>
      <c r="KNG248" s="22"/>
      <c r="KNH248" s="22"/>
      <c r="KNI248" s="22"/>
      <c r="KNJ248" s="22"/>
      <c r="KNK248" s="22"/>
      <c r="KNL248" s="22"/>
      <c r="KNM248" s="22"/>
      <c r="KNN248" s="22"/>
      <c r="KNO248" s="22"/>
      <c r="KNP248" s="22"/>
      <c r="KNQ248" s="22"/>
      <c r="KNR248" s="22"/>
      <c r="KNS248" s="22"/>
      <c r="KNT248" s="22"/>
      <c r="KNU248" s="22"/>
      <c r="KNV248" s="22"/>
      <c r="KNW248" s="22"/>
      <c r="KNX248" s="22"/>
      <c r="KNY248" s="22"/>
      <c r="KNZ248" s="22"/>
      <c r="KOA248" s="22"/>
      <c r="KOB248" s="22"/>
      <c r="KOC248" s="22"/>
      <c r="KOD248" s="22"/>
      <c r="KOE248" s="22"/>
      <c r="KOF248" s="22"/>
      <c r="KOG248" s="22"/>
      <c r="KOH248" s="22"/>
      <c r="KOI248" s="22"/>
      <c r="KOJ248" s="22"/>
      <c r="KOK248" s="22"/>
      <c r="KOL248" s="22"/>
      <c r="KOM248" s="22"/>
      <c r="KON248" s="22"/>
      <c r="KOO248" s="22"/>
      <c r="KOP248" s="22"/>
      <c r="KOQ248" s="22"/>
      <c r="KOR248" s="22"/>
      <c r="KOS248" s="22"/>
      <c r="KOT248" s="22"/>
      <c r="KOU248" s="22"/>
      <c r="KOV248" s="22"/>
      <c r="KOW248" s="22"/>
      <c r="KOX248" s="22"/>
      <c r="KOY248" s="22"/>
      <c r="KOZ248" s="22"/>
      <c r="KPA248" s="22"/>
      <c r="KPB248" s="22"/>
      <c r="KPC248" s="22"/>
      <c r="KPD248" s="22"/>
      <c r="KPE248" s="22"/>
      <c r="KPF248" s="22"/>
      <c r="KPG248" s="22"/>
      <c r="KPH248" s="22"/>
      <c r="KPI248" s="22"/>
      <c r="KPJ248" s="22"/>
      <c r="KPK248" s="22"/>
      <c r="KPL248" s="22"/>
      <c r="KPM248" s="22"/>
      <c r="KPN248" s="22"/>
      <c r="KPO248" s="22"/>
      <c r="KPP248" s="22"/>
      <c r="KPQ248" s="22"/>
      <c r="KPR248" s="22"/>
      <c r="KPS248" s="22"/>
      <c r="KPT248" s="22"/>
      <c r="KPU248" s="22"/>
      <c r="KPV248" s="22"/>
      <c r="KPW248" s="22"/>
      <c r="KPX248" s="22"/>
      <c r="KPY248" s="22"/>
      <c r="KPZ248" s="22"/>
      <c r="KQA248" s="22"/>
      <c r="KQB248" s="22"/>
      <c r="KQC248" s="22"/>
      <c r="KQD248" s="22"/>
      <c r="KQE248" s="22"/>
      <c r="KQF248" s="22"/>
      <c r="KQG248" s="22"/>
      <c r="KQH248" s="22"/>
      <c r="KQI248" s="22"/>
      <c r="KQJ248" s="22"/>
      <c r="KQK248" s="22"/>
      <c r="KQL248" s="22"/>
      <c r="KQM248" s="22"/>
      <c r="KQN248" s="22"/>
      <c r="KQO248" s="22"/>
      <c r="KQP248" s="22"/>
      <c r="KQQ248" s="22"/>
      <c r="KQR248" s="22"/>
      <c r="KQS248" s="22"/>
      <c r="KQT248" s="22"/>
      <c r="KQU248" s="22"/>
      <c r="KQV248" s="22"/>
      <c r="KQW248" s="22"/>
      <c r="KQX248" s="22"/>
      <c r="KQY248" s="22"/>
      <c r="KQZ248" s="22"/>
      <c r="KRA248" s="22"/>
      <c r="KRB248" s="22"/>
      <c r="KRC248" s="22"/>
      <c r="KRD248" s="22"/>
      <c r="KRE248" s="22"/>
      <c r="KRF248" s="22"/>
      <c r="KRG248" s="22"/>
      <c r="KRH248" s="22"/>
      <c r="KRI248" s="22"/>
      <c r="KRJ248" s="22"/>
      <c r="KRK248" s="22"/>
      <c r="KRL248" s="22"/>
      <c r="KRM248" s="22"/>
      <c r="KRN248" s="22"/>
      <c r="KRO248" s="22"/>
      <c r="KRP248" s="22"/>
      <c r="KRQ248" s="22"/>
      <c r="KRR248" s="22"/>
      <c r="KRS248" s="22"/>
      <c r="KRT248" s="22"/>
      <c r="KRU248" s="22"/>
      <c r="KRV248" s="22"/>
      <c r="KRW248" s="22"/>
      <c r="KRX248" s="22"/>
      <c r="KRY248" s="22"/>
      <c r="KRZ248" s="22"/>
      <c r="KSA248" s="22"/>
      <c r="KSB248" s="22"/>
      <c r="KSC248" s="22"/>
      <c r="KSD248" s="22"/>
      <c r="KSE248" s="22"/>
      <c r="KSF248" s="22"/>
      <c r="KSG248" s="22"/>
      <c r="KSH248" s="22"/>
      <c r="KSI248" s="22"/>
      <c r="KSJ248" s="22"/>
      <c r="KSK248" s="22"/>
      <c r="KSL248" s="22"/>
      <c r="KSM248" s="22"/>
      <c r="KSN248" s="22"/>
      <c r="KSO248" s="22"/>
      <c r="KSP248" s="22"/>
      <c r="KSQ248" s="22"/>
      <c r="KSR248" s="22"/>
      <c r="KSS248" s="22"/>
      <c r="KST248" s="22"/>
      <c r="KSU248" s="22"/>
      <c r="KSV248" s="22"/>
      <c r="KSW248" s="22"/>
      <c r="KSX248" s="22"/>
      <c r="KSY248" s="22"/>
      <c r="KSZ248" s="22"/>
      <c r="KTA248" s="22"/>
      <c r="KTB248" s="22"/>
      <c r="KTC248" s="22"/>
      <c r="KTD248" s="22"/>
      <c r="KTE248" s="22"/>
      <c r="KTF248" s="22"/>
      <c r="KTG248" s="22"/>
      <c r="KTH248" s="22"/>
      <c r="KTI248" s="22"/>
      <c r="KTJ248" s="22"/>
      <c r="KTK248" s="22"/>
      <c r="KTL248" s="22"/>
      <c r="KTM248" s="22"/>
      <c r="KTN248" s="22"/>
      <c r="KTO248" s="22"/>
      <c r="KTP248" s="22"/>
      <c r="KTQ248" s="22"/>
      <c r="KTR248" s="22"/>
      <c r="KTS248" s="22"/>
      <c r="KTT248" s="22"/>
      <c r="KTU248" s="22"/>
      <c r="KTV248" s="22"/>
      <c r="KTW248" s="22"/>
      <c r="KTX248" s="22"/>
      <c r="KTY248" s="22"/>
      <c r="KTZ248" s="22"/>
      <c r="KUA248" s="22"/>
      <c r="KUB248" s="22"/>
      <c r="KUC248" s="22"/>
      <c r="KUD248" s="22"/>
      <c r="KUE248" s="22"/>
      <c r="KUF248" s="22"/>
      <c r="KUG248" s="22"/>
      <c r="KUH248" s="22"/>
      <c r="KUI248" s="22"/>
      <c r="KUJ248" s="22"/>
      <c r="KUK248" s="22"/>
      <c r="KUL248" s="22"/>
      <c r="KUM248" s="22"/>
      <c r="KUN248" s="22"/>
      <c r="KUO248" s="22"/>
      <c r="KUP248" s="22"/>
      <c r="KUQ248" s="22"/>
      <c r="KUR248" s="22"/>
      <c r="KUS248" s="22"/>
      <c r="KUT248" s="22"/>
      <c r="KUU248" s="22"/>
      <c r="KUV248" s="22"/>
      <c r="KUW248" s="22"/>
      <c r="KUX248" s="22"/>
      <c r="KUY248" s="22"/>
      <c r="KUZ248" s="22"/>
      <c r="KVA248" s="22"/>
      <c r="KVB248" s="22"/>
      <c r="KVC248" s="22"/>
      <c r="KVD248" s="22"/>
      <c r="KVE248" s="22"/>
      <c r="KVF248" s="22"/>
      <c r="KVG248" s="22"/>
      <c r="KVH248" s="22"/>
      <c r="KVI248" s="22"/>
      <c r="KVJ248" s="22"/>
      <c r="KVK248" s="22"/>
      <c r="KVL248" s="22"/>
      <c r="KVM248" s="22"/>
      <c r="KVN248" s="22"/>
      <c r="KVO248" s="22"/>
      <c r="KVP248" s="22"/>
      <c r="KVQ248" s="22"/>
      <c r="KVR248" s="22"/>
      <c r="KVS248" s="22"/>
      <c r="KVT248" s="22"/>
      <c r="KVU248" s="22"/>
      <c r="KVV248" s="22"/>
      <c r="KVW248" s="22"/>
      <c r="KVX248" s="22"/>
      <c r="KVY248" s="22"/>
      <c r="KVZ248" s="22"/>
      <c r="KWA248" s="22"/>
      <c r="KWB248" s="22"/>
      <c r="KWC248" s="22"/>
      <c r="KWD248" s="22"/>
      <c r="KWE248" s="22"/>
      <c r="KWF248" s="22"/>
      <c r="KWG248" s="22"/>
      <c r="KWH248" s="22"/>
      <c r="KWI248" s="22"/>
      <c r="KWJ248" s="22"/>
      <c r="KWK248" s="22"/>
      <c r="KWL248" s="22"/>
      <c r="KWM248" s="22"/>
      <c r="KWN248" s="22"/>
      <c r="KWO248" s="22"/>
      <c r="KWP248" s="22"/>
      <c r="KWQ248" s="22"/>
      <c r="KWR248" s="22"/>
      <c r="KWS248" s="22"/>
      <c r="KWT248" s="22"/>
      <c r="KWU248" s="22"/>
      <c r="KWV248" s="22"/>
      <c r="KWW248" s="22"/>
      <c r="KWX248" s="22"/>
      <c r="KWY248" s="22"/>
      <c r="KWZ248" s="22"/>
      <c r="KXA248" s="22"/>
      <c r="KXB248" s="22"/>
      <c r="KXC248" s="22"/>
      <c r="KXD248" s="22"/>
      <c r="KXE248" s="22"/>
      <c r="KXF248" s="22"/>
      <c r="KXG248" s="22"/>
      <c r="KXH248" s="22"/>
      <c r="KXI248" s="22"/>
      <c r="KXJ248" s="22"/>
      <c r="KXK248" s="22"/>
      <c r="KXL248" s="22"/>
      <c r="KXM248" s="22"/>
      <c r="KXN248" s="22"/>
      <c r="KXO248" s="22"/>
      <c r="KXP248" s="22"/>
      <c r="KXQ248" s="22"/>
      <c r="KXR248" s="22"/>
      <c r="KXS248" s="22"/>
      <c r="KXT248" s="22"/>
      <c r="KXU248" s="22"/>
      <c r="KXV248" s="22"/>
      <c r="KXW248" s="22"/>
      <c r="KXX248" s="22"/>
      <c r="KXY248" s="22"/>
      <c r="KXZ248" s="22"/>
      <c r="KYA248" s="22"/>
      <c r="KYB248" s="22"/>
      <c r="KYC248" s="22"/>
      <c r="KYD248" s="22"/>
      <c r="KYE248" s="22"/>
      <c r="KYF248" s="22"/>
      <c r="KYG248" s="22"/>
      <c r="KYH248" s="22"/>
      <c r="KYI248" s="22"/>
      <c r="KYJ248" s="22"/>
      <c r="KYK248" s="22"/>
      <c r="KYL248" s="22"/>
      <c r="KYM248" s="22"/>
      <c r="KYN248" s="22"/>
      <c r="KYO248" s="22"/>
      <c r="KYP248" s="22"/>
      <c r="KYQ248" s="22"/>
      <c r="KYR248" s="22"/>
      <c r="KYS248" s="22"/>
      <c r="KYT248" s="22"/>
      <c r="KYU248" s="22"/>
      <c r="KYV248" s="22"/>
      <c r="KYW248" s="22"/>
      <c r="KYX248" s="22"/>
      <c r="KYY248" s="22"/>
      <c r="KYZ248" s="22"/>
      <c r="KZA248" s="22"/>
      <c r="KZB248" s="22"/>
      <c r="KZC248" s="22"/>
      <c r="KZD248" s="22"/>
      <c r="KZE248" s="22"/>
      <c r="KZF248" s="22"/>
      <c r="KZG248" s="22"/>
      <c r="KZH248" s="22"/>
      <c r="KZI248" s="22"/>
      <c r="KZJ248" s="22"/>
      <c r="KZK248" s="22"/>
      <c r="KZL248" s="22"/>
      <c r="KZM248" s="22"/>
      <c r="KZN248" s="22"/>
      <c r="KZO248" s="22"/>
      <c r="KZP248" s="22"/>
      <c r="KZQ248" s="22"/>
      <c r="KZR248" s="22"/>
      <c r="KZS248" s="22"/>
      <c r="KZT248" s="22"/>
      <c r="KZU248" s="22"/>
      <c r="KZV248" s="22"/>
      <c r="KZW248" s="22"/>
      <c r="KZX248" s="22"/>
      <c r="KZY248" s="22"/>
      <c r="KZZ248" s="22"/>
      <c r="LAA248" s="22"/>
      <c r="LAB248" s="22"/>
      <c r="LAC248" s="22"/>
      <c r="LAD248" s="22"/>
      <c r="LAE248" s="22"/>
      <c r="LAF248" s="22"/>
      <c r="LAG248" s="22"/>
      <c r="LAH248" s="22"/>
      <c r="LAI248" s="22"/>
      <c r="LAJ248" s="22"/>
      <c r="LAK248" s="22"/>
      <c r="LAL248" s="22"/>
      <c r="LAM248" s="22"/>
      <c r="LAN248" s="22"/>
      <c r="LAO248" s="22"/>
      <c r="LAP248" s="22"/>
      <c r="LAQ248" s="22"/>
      <c r="LAR248" s="22"/>
      <c r="LAS248" s="22"/>
      <c r="LAT248" s="22"/>
      <c r="LAU248" s="22"/>
      <c r="LAV248" s="22"/>
      <c r="LAW248" s="22"/>
      <c r="LAX248" s="22"/>
      <c r="LAY248" s="22"/>
      <c r="LAZ248" s="22"/>
      <c r="LBA248" s="22"/>
      <c r="LBB248" s="22"/>
      <c r="LBC248" s="22"/>
      <c r="LBD248" s="22"/>
      <c r="LBE248" s="22"/>
      <c r="LBF248" s="22"/>
      <c r="LBG248" s="22"/>
      <c r="LBH248" s="22"/>
      <c r="LBI248" s="22"/>
      <c r="LBJ248" s="22"/>
      <c r="LBK248" s="22"/>
      <c r="LBL248" s="22"/>
      <c r="LBM248" s="22"/>
      <c r="LBN248" s="22"/>
      <c r="LBO248" s="22"/>
      <c r="LBP248" s="22"/>
      <c r="LBQ248" s="22"/>
      <c r="LBR248" s="22"/>
      <c r="LBS248" s="22"/>
      <c r="LBT248" s="22"/>
      <c r="LBU248" s="22"/>
      <c r="LBV248" s="22"/>
      <c r="LBW248" s="22"/>
      <c r="LBX248" s="22"/>
      <c r="LBY248" s="22"/>
      <c r="LBZ248" s="22"/>
      <c r="LCA248" s="22"/>
      <c r="LCB248" s="22"/>
      <c r="LCC248" s="22"/>
      <c r="LCD248" s="22"/>
      <c r="LCE248" s="22"/>
      <c r="LCF248" s="22"/>
      <c r="LCG248" s="22"/>
      <c r="LCH248" s="22"/>
      <c r="LCI248" s="22"/>
      <c r="LCJ248" s="22"/>
      <c r="LCK248" s="22"/>
      <c r="LCL248" s="22"/>
      <c r="LCM248" s="22"/>
      <c r="LCN248" s="22"/>
      <c r="LCO248" s="22"/>
      <c r="LCP248" s="22"/>
      <c r="LCQ248" s="22"/>
      <c r="LCR248" s="22"/>
      <c r="LCS248" s="22"/>
      <c r="LCT248" s="22"/>
      <c r="LCU248" s="22"/>
      <c r="LCV248" s="22"/>
      <c r="LCW248" s="22"/>
      <c r="LCX248" s="22"/>
      <c r="LCY248" s="22"/>
      <c r="LCZ248" s="22"/>
      <c r="LDA248" s="22"/>
      <c r="LDB248" s="22"/>
      <c r="LDC248" s="22"/>
      <c r="LDD248" s="22"/>
      <c r="LDE248" s="22"/>
      <c r="LDF248" s="22"/>
      <c r="LDG248" s="22"/>
      <c r="LDH248" s="22"/>
      <c r="LDI248" s="22"/>
      <c r="LDJ248" s="22"/>
      <c r="LDK248" s="22"/>
      <c r="LDL248" s="22"/>
      <c r="LDM248" s="22"/>
      <c r="LDN248" s="22"/>
      <c r="LDO248" s="22"/>
      <c r="LDP248" s="22"/>
      <c r="LDQ248" s="22"/>
      <c r="LDR248" s="22"/>
      <c r="LDS248" s="22"/>
      <c r="LDT248" s="22"/>
      <c r="LDU248" s="22"/>
      <c r="LDV248" s="22"/>
      <c r="LDW248" s="22"/>
      <c r="LDX248" s="22"/>
      <c r="LDY248" s="22"/>
      <c r="LDZ248" s="22"/>
      <c r="LEA248" s="22"/>
      <c r="LEB248" s="22"/>
      <c r="LEC248" s="22"/>
      <c r="LED248" s="22"/>
      <c r="LEE248" s="22"/>
      <c r="LEF248" s="22"/>
      <c r="LEG248" s="22"/>
      <c r="LEH248" s="22"/>
      <c r="LEI248" s="22"/>
      <c r="LEJ248" s="22"/>
      <c r="LEK248" s="22"/>
      <c r="LEL248" s="22"/>
      <c r="LEM248" s="22"/>
      <c r="LEN248" s="22"/>
      <c r="LEO248" s="22"/>
      <c r="LEP248" s="22"/>
      <c r="LEQ248" s="22"/>
      <c r="LER248" s="22"/>
      <c r="LES248" s="22"/>
      <c r="LET248" s="22"/>
      <c r="LEU248" s="22"/>
      <c r="LEV248" s="22"/>
      <c r="LEW248" s="22"/>
      <c r="LEX248" s="22"/>
      <c r="LEY248" s="22"/>
      <c r="LEZ248" s="22"/>
      <c r="LFA248" s="22"/>
      <c r="LFB248" s="22"/>
      <c r="LFC248" s="22"/>
      <c r="LFD248" s="22"/>
      <c r="LFE248" s="22"/>
      <c r="LFF248" s="22"/>
      <c r="LFG248" s="22"/>
      <c r="LFH248" s="22"/>
      <c r="LFI248" s="22"/>
      <c r="LFJ248" s="22"/>
      <c r="LFK248" s="22"/>
      <c r="LFL248" s="22"/>
      <c r="LFM248" s="22"/>
      <c r="LFN248" s="22"/>
      <c r="LFO248" s="22"/>
      <c r="LFP248" s="22"/>
      <c r="LFQ248" s="22"/>
      <c r="LFR248" s="22"/>
      <c r="LFS248" s="22"/>
      <c r="LFT248" s="22"/>
      <c r="LFU248" s="22"/>
      <c r="LFV248" s="22"/>
      <c r="LFW248" s="22"/>
      <c r="LFX248" s="22"/>
      <c r="LFY248" s="22"/>
      <c r="LFZ248" s="22"/>
      <c r="LGA248" s="22"/>
      <c r="LGB248" s="22"/>
      <c r="LGC248" s="22"/>
      <c r="LGD248" s="22"/>
      <c r="LGE248" s="22"/>
      <c r="LGF248" s="22"/>
      <c r="LGG248" s="22"/>
      <c r="LGH248" s="22"/>
      <c r="LGI248" s="22"/>
      <c r="LGJ248" s="22"/>
      <c r="LGK248" s="22"/>
      <c r="LGL248" s="22"/>
      <c r="LGM248" s="22"/>
      <c r="LGN248" s="22"/>
      <c r="LGO248" s="22"/>
      <c r="LGP248" s="22"/>
      <c r="LGQ248" s="22"/>
      <c r="LGR248" s="22"/>
      <c r="LGS248" s="22"/>
      <c r="LGT248" s="22"/>
      <c r="LGU248" s="22"/>
      <c r="LGV248" s="22"/>
      <c r="LGW248" s="22"/>
      <c r="LGX248" s="22"/>
      <c r="LGY248" s="22"/>
      <c r="LGZ248" s="22"/>
      <c r="LHA248" s="22"/>
      <c r="LHB248" s="22"/>
      <c r="LHC248" s="22"/>
      <c r="LHD248" s="22"/>
      <c r="LHE248" s="22"/>
      <c r="LHF248" s="22"/>
      <c r="LHG248" s="22"/>
      <c r="LHH248" s="22"/>
      <c r="LHI248" s="22"/>
      <c r="LHJ248" s="22"/>
      <c r="LHK248" s="22"/>
      <c r="LHL248" s="22"/>
      <c r="LHM248" s="22"/>
      <c r="LHN248" s="22"/>
      <c r="LHO248" s="22"/>
      <c r="LHP248" s="22"/>
      <c r="LHQ248" s="22"/>
      <c r="LHR248" s="22"/>
      <c r="LHS248" s="22"/>
      <c r="LHT248" s="22"/>
      <c r="LHU248" s="22"/>
      <c r="LHV248" s="22"/>
      <c r="LHW248" s="22"/>
      <c r="LHX248" s="22"/>
      <c r="LHY248" s="22"/>
      <c r="LHZ248" s="22"/>
      <c r="LIA248" s="22"/>
      <c r="LIB248" s="22"/>
      <c r="LIC248" s="22"/>
      <c r="LID248" s="22"/>
      <c r="LIE248" s="22"/>
      <c r="LIF248" s="22"/>
      <c r="LIG248" s="22"/>
      <c r="LIH248" s="22"/>
      <c r="LII248" s="22"/>
      <c r="LIJ248" s="22"/>
      <c r="LIK248" s="22"/>
      <c r="LIL248" s="22"/>
      <c r="LIM248" s="22"/>
      <c r="LIN248" s="22"/>
      <c r="LIO248" s="22"/>
      <c r="LIP248" s="22"/>
      <c r="LIQ248" s="22"/>
      <c r="LIR248" s="22"/>
      <c r="LIS248" s="22"/>
      <c r="LIT248" s="22"/>
      <c r="LIU248" s="22"/>
      <c r="LIV248" s="22"/>
      <c r="LIW248" s="22"/>
      <c r="LIX248" s="22"/>
      <c r="LIY248" s="22"/>
      <c r="LIZ248" s="22"/>
      <c r="LJA248" s="22"/>
      <c r="LJB248" s="22"/>
      <c r="LJC248" s="22"/>
      <c r="LJD248" s="22"/>
      <c r="LJE248" s="22"/>
      <c r="LJF248" s="22"/>
      <c r="LJG248" s="22"/>
      <c r="LJH248" s="22"/>
      <c r="LJI248" s="22"/>
      <c r="LJJ248" s="22"/>
      <c r="LJK248" s="22"/>
      <c r="LJL248" s="22"/>
      <c r="LJM248" s="22"/>
      <c r="LJN248" s="22"/>
      <c r="LJO248" s="22"/>
      <c r="LJP248" s="22"/>
      <c r="LJQ248" s="22"/>
      <c r="LJR248" s="22"/>
      <c r="LJS248" s="22"/>
      <c r="LJT248" s="22"/>
      <c r="LJU248" s="22"/>
      <c r="LJV248" s="22"/>
      <c r="LJW248" s="22"/>
      <c r="LJX248" s="22"/>
      <c r="LJY248" s="22"/>
      <c r="LJZ248" s="22"/>
      <c r="LKA248" s="22"/>
      <c r="LKB248" s="22"/>
      <c r="LKC248" s="22"/>
      <c r="LKD248" s="22"/>
      <c r="LKE248" s="22"/>
      <c r="LKF248" s="22"/>
      <c r="LKG248" s="22"/>
      <c r="LKH248" s="22"/>
      <c r="LKI248" s="22"/>
      <c r="LKJ248" s="22"/>
      <c r="LKK248" s="22"/>
      <c r="LKL248" s="22"/>
      <c r="LKM248" s="22"/>
      <c r="LKN248" s="22"/>
      <c r="LKO248" s="22"/>
      <c r="LKP248" s="22"/>
      <c r="LKQ248" s="22"/>
      <c r="LKR248" s="22"/>
      <c r="LKS248" s="22"/>
      <c r="LKT248" s="22"/>
      <c r="LKU248" s="22"/>
      <c r="LKV248" s="22"/>
      <c r="LKW248" s="22"/>
      <c r="LKX248" s="22"/>
      <c r="LKY248" s="22"/>
      <c r="LKZ248" s="22"/>
      <c r="LLA248" s="22"/>
      <c r="LLB248" s="22"/>
      <c r="LLC248" s="22"/>
      <c r="LLD248" s="22"/>
      <c r="LLE248" s="22"/>
      <c r="LLF248" s="22"/>
      <c r="LLG248" s="22"/>
      <c r="LLH248" s="22"/>
      <c r="LLI248" s="22"/>
      <c r="LLJ248" s="22"/>
      <c r="LLK248" s="22"/>
      <c r="LLL248" s="22"/>
      <c r="LLM248" s="22"/>
      <c r="LLN248" s="22"/>
      <c r="LLO248" s="22"/>
      <c r="LLP248" s="22"/>
      <c r="LLQ248" s="22"/>
      <c r="LLR248" s="22"/>
      <c r="LLS248" s="22"/>
      <c r="LLT248" s="22"/>
      <c r="LLU248" s="22"/>
      <c r="LLV248" s="22"/>
      <c r="LLW248" s="22"/>
      <c r="LLX248" s="22"/>
      <c r="LLY248" s="22"/>
      <c r="LLZ248" s="22"/>
      <c r="LMA248" s="22"/>
      <c r="LMB248" s="22"/>
      <c r="LMC248" s="22"/>
      <c r="LMD248" s="22"/>
      <c r="LME248" s="22"/>
      <c r="LMF248" s="22"/>
      <c r="LMG248" s="22"/>
      <c r="LMH248" s="22"/>
      <c r="LMI248" s="22"/>
      <c r="LMJ248" s="22"/>
      <c r="LMK248" s="22"/>
      <c r="LML248" s="22"/>
      <c r="LMM248" s="22"/>
      <c r="LMN248" s="22"/>
      <c r="LMO248" s="22"/>
      <c r="LMP248" s="22"/>
      <c r="LMQ248" s="22"/>
      <c r="LMR248" s="22"/>
      <c r="LMS248" s="22"/>
      <c r="LMT248" s="22"/>
      <c r="LMU248" s="22"/>
      <c r="LMV248" s="22"/>
      <c r="LMW248" s="22"/>
      <c r="LMX248" s="22"/>
      <c r="LMY248" s="22"/>
      <c r="LMZ248" s="22"/>
      <c r="LNA248" s="22"/>
      <c r="LNB248" s="22"/>
      <c r="LNC248" s="22"/>
      <c r="LND248" s="22"/>
      <c r="LNE248" s="22"/>
      <c r="LNF248" s="22"/>
      <c r="LNG248" s="22"/>
      <c r="LNH248" s="22"/>
      <c r="LNI248" s="22"/>
      <c r="LNJ248" s="22"/>
      <c r="LNK248" s="22"/>
      <c r="LNL248" s="22"/>
      <c r="LNM248" s="22"/>
      <c r="LNN248" s="22"/>
      <c r="LNO248" s="22"/>
      <c r="LNP248" s="22"/>
      <c r="LNQ248" s="22"/>
      <c r="LNR248" s="22"/>
      <c r="LNS248" s="22"/>
      <c r="LNT248" s="22"/>
      <c r="LNU248" s="22"/>
      <c r="LNV248" s="22"/>
      <c r="LNW248" s="22"/>
      <c r="LNX248" s="22"/>
      <c r="LNY248" s="22"/>
      <c r="LNZ248" s="22"/>
      <c r="LOA248" s="22"/>
      <c r="LOB248" s="22"/>
      <c r="LOC248" s="22"/>
      <c r="LOD248" s="22"/>
      <c r="LOE248" s="22"/>
      <c r="LOF248" s="22"/>
      <c r="LOG248" s="22"/>
      <c r="LOH248" s="22"/>
      <c r="LOI248" s="22"/>
      <c r="LOJ248" s="22"/>
      <c r="LOK248" s="22"/>
      <c r="LOL248" s="22"/>
      <c r="LOM248" s="22"/>
      <c r="LON248" s="22"/>
      <c r="LOO248" s="22"/>
      <c r="LOP248" s="22"/>
      <c r="LOQ248" s="22"/>
      <c r="LOR248" s="22"/>
      <c r="LOS248" s="22"/>
      <c r="LOT248" s="22"/>
      <c r="LOU248" s="22"/>
      <c r="LOV248" s="22"/>
      <c r="LOW248" s="22"/>
      <c r="LOX248" s="22"/>
      <c r="LOY248" s="22"/>
      <c r="LOZ248" s="22"/>
      <c r="LPA248" s="22"/>
      <c r="LPB248" s="22"/>
      <c r="LPC248" s="22"/>
      <c r="LPD248" s="22"/>
      <c r="LPE248" s="22"/>
      <c r="LPF248" s="22"/>
      <c r="LPG248" s="22"/>
      <c r="LPH248" s="22"/>
      <c r="LPI248" s="22"/>
      <c r="LPJ248" s="22"/>
      <c r="LPK248" s="22"/>
      <c r="LPL248" s="22"/>
      <c r="LPM248" s="22"/>
      <c r="LPN248" s="22"/>
      <c r="LPO248" s="22"/>
      <c r="LPP248" s="22"/>
      <c r="LPQ248" s="22"/>
      <c r="LPR248" s="22"/>
      <c r="LPS248" s="22"/>
      <c r="LPT248" s="22"/>
      <c r="LPU248" s="22"/>
      <c r="LPV248" s="22"/>
      <c r="LPW248" s="22"/>
      <c r="LPX248" s="22"/>
      <c r="LPY248" s="22"/>
      <c r="LPZ248" s="22"/>
      <c r="LQA248" s="22"/>
      <c r="LQB248" s="22"/>
      <c r="LQC248" s="22"/>
      <c r="LQD248" s="22"/>
      <c r="LQE248" s="22"/>
      <c r="LQF248" s="22"/>
      <c r="LQG248" s="22"/>
      <c r="LQH248" s="22"/>
      <c r="LQI248" s="22"/>
      <c r="LQJ248" s="22"/>
      <c r="LQK248" s="22"/>
      <c r="LQL248" s="22"/>
      <c r="LQM248" s="22"/>
      <c r="LQN248" s="22"/>
      <c r="LQO248" s="22"/>
      <c r="LQP248" s="22"/>
      <c r="LQQ248" s="22"/>
      <c r="LQR248" s="22"/>
      <c r="LQS248" s="22"/>
      <c r="LQT248" s="22"/>
      <c r="LQU248" s="22"/>
      <c r="LQV248" s="22"/>
      <c r="LQW248" s="22"/>
      <c r="LQX248" s="22"/>
      <c r="LQY248" s="22"/>
      <c r="LQZ248" s="22"/>
      <c r="LRA248" s="22"/>
      <c r="LRB248" s="22"/>
      <c r="LRC248" s="22"/>
      <c r="LRD248" s="22"/>
      <c r="LRE248" s="22"/>
      <c r="LRF248" s="22"/>
      <c r="LRG248" s="22"/>
      <c r="LRH248" s="22"/>
      <c r="LRI248" s="22"/>
      <c r="LRJ248" s="22"/>
      <c r="LRK248" s="22"/>
      <c r="LRL248" s="22"/>
      <c r="LRM248" s="22"/>
      <c r="LRN248" s="22"/>
      <c r="LRO248" s="22"/>
      <c r="LRP248" s="22"/>
      <c r="LRQ248" s="22"/>
      <c r="LRR248" s="22"/>
      <c r="LRS248" s="22"/>
      <c r="LRT248" s="22"/>
      <c r="LRU248" s="22"/>
      <c r="LRV248" s="22"/>
      <c r="LRW248" s="22"/>
      <c r="LRX248" s="22"/>
      <c r="LRY248" s="22"/>
      <c r="LRZ248" s="22"/>
      <c r="LSA248" s="22"/>
      <c r="LSB248" s="22"/>
      <c r="LSC248" s="22"/>
      <c r="LSD248" s="22"/>
      <c r="LSE248" s="22"/>
      <c r="LSF248" s="22"/>
      <c r="LSG248" s="22"/>
      <c r="LSH248" s="22"/>
      <c r="LSI248" s="22"/>
      <c r="LSJ248" s="22"/>
      <c r="LSK248" s="22"/>
      <c r="LSL248" s="22"/>
      <c r="LSM248" s="22"/>
      <c r="LSN248" s="22"/>
      <c r="LSO248" s="22"/>
      <c r="LSP248" s="22"/>
      <c r="LSQ248" s="22"/>
      <c r="LSR248" s="22"/>
      <c r="LSS248" s="22"/>
      <c r="LST248" s="22"/>
      <c r="LSU248" s="22"/>
      <c r="LSV248" s="22"/>
      <c r="LSW248" s="22"/>
      <c r="LSX248" s="22"/>
      <c r="LSY248" s="22"/>
      <c r="LSZ248" s="22"/>
      <c r="LTA248" s="22"/>
      <c r="LTB248" s="22"/>
      <c r="LTC248" s="22"/>
      <c r="LTD248" s="22"/>
      <c r="LTE248" s="22"/>
      <c r="LTF248" s="22"/>
      <c r="LTG248" s="22"/>
      <c r="LTH248" s="22"/>
      <c r="LTI248" s="22"/>
      <c r="LTJ248" s="22"/>
      <c r="LTK248" s="22"/>
      <c r="LTL248" s="22"/>
      <c r="LTM248" s="22"/>
      <c r="LTN248" s="22"/>
      <c r="LTO248" s="22"/>
      <c r="LTP248" s="22"/>
      <c r="LTQ248" s="22"/>
      <c r="LTR248" s="22"/>
      <c r="LTS248" s="22"/>
      <c r="LTT248" s="22"/>
      <c r="LTU248" s="22"/>
      <c r="LTV248" s="22"/>
      <c r="LTW248" s="22"/>
      <c r="LTX248" s="22"/>
      <c r="LTY248" s="22"/>
      <c r="LTZ248" s="22"/>
      <c r="LUA248" s="22"/>
      <c r="LUB248" s="22"/>
      <c r="LUC248" s="22"/>
      <c r="LUD248" s="22"/>
      <c r="LUE248" s="22"/>
      <c r="LUF248" s="22"/>
      <c r="LUG248" s="22"/>
      <c r="LUH248" s="22"/>
      <c r="LUI248" s="22"/>
      <c r="LUJ248" s="22"/>
      <c r="LUK248" s="22"/>
      <c r="LUL248" s="22"/>
      <c r="LUM248" s="22"/>
      <c r="LUN248" s="22"/>
      <c r="LUO248" s="22"/>
      <c r="LUP248" s="22"/>
      <c r="LUQ248" s="22"/>
      <c r="LUR248" s="22"/>
      <c r="LUS248" s="22"/>
      <c r="LUT248" s="22"/>
      <c r="LUU248" s="22"/>
      <c r="LUV248" s="22"/>
      <c r="LUW248" s="22"/>
      <c r="LUX248" s="22"/>
      <c r="LUY248" s="22"/>
      <c r="LUZ248" s="22"/>
      <c r="LVA248" s="22"/>
      <c r="LVB248" s="22"/>
      <c r="LVC248" s="22"/>
      <c r="LVD248" s="22"/>
      <c r="LVE248" s="22"/>
      <c r="LVF248" s="22"/>
      <c r="LVG248" s="22"/>
      <c r="LVH248" s="22"/>
      <c r="LVI248" s="22"/>
      <c r="LVJ248" s="22"/>
      <c r="LVK248" s="22"/>
      <c r="LVL248" s="22"/>
      <c r="LVM248" s="22"/>
      <c r="LVN248" s="22"/>
      <c r="LVO248" s="22"/>
      <c r="LVP248" s="22"/>
      <c r="LVQ248" s="22"/>
      <c r="LVR248" s="22"/>
      <c r="LVS248" s="22"/>
      <c r="LVT248" s="22"/>
      <c r="LVU248" s="22"/>
      <c r="LVV248" s="22"/>
      <c r="LVW248" s="22"/>
      <c r="LVX248" s="22"/>
      <c r="LVY248" s="22"/>
      <c r="LVZ248" s="22"/>
      <c r="LWA248" s="22"/>
      <c r="LWB248" s="22"/>
      <c r="LWC248" s="22"/>
      <c r="LWD248" s="22"/>
      <c r="LWE248" s="22"/>
      <c r="LWF248" s="22"/>
      <c r="LWG248" s="22"/>
      <c r="LWH248" s="22"/>
      <c r="LWI248" s="22"/>
      <c r="LWJ248" s="22"/>
      <c r="LWK248" s="22"/>
      <c r="LWL248" s="22"/>
      <c r="LWM248" s="22"/>
      <c r="LWN248" s="22"/>
      <c r="LWO248" s="22"/>
      <c r="LWP248" s="22"/>
      <c r="LWQ248" s="22"/>
      <c r="LWR248" s="22"/>
      <c r="LWS248" s="22"/>
      <c r="LWT248" s="22"/>
      <c r="LWU248" s="22"/>
      <c r="LWV248" s="22"/>
      <c r="LWW248" s="22"/>
      <c r="LWX248" s="22"/>
      <c r="LWY248" s="22"/>
      <c r="LWZ248" s="22"/>
      <c r="LXA248" s="22"/>
      <c r="LXB248" s="22"/>
      <c r="LXC248" s="22"/>
      <c r="LXD248" s="22"/>
      <c r="LXE248" s="22"/>
      <c r="LXF248" s="22"/>
      <c r="LXG248" s="22"/>
      <c r="LXH248" s="22"/>
      <c r="LXI248" s="22"/>
      <c r="LXJ248" s="22"/>
      <c r="LXK248" s="22"/>
      <c r="LXL248" s="22"/>
      <c r="LXM248" s="22"/>
      <c r="LXN248" s="22"/>
      <c r="LXO248" s="22"/>
      <c r="LXP248" s="22"/>
      <c r="LXQ248" s="22"/>
      <c r="LXR248" s="22"/>
      <c r="LXS248" s="22"/>
      <c r="LXT248" s="22"/>
      <c r="LXU248" s="22"/>
      <c r="LXV248" s="22"/>
      <c r="LXW248" s="22"/>
      <c r="LXX248" s="22"/>
      <c r="LXY248" s="22"/>
      <c r="LXZ248" s="22"/>
      <c r="LYA248" s="22"/>
      <c r="LYB248" s="22"/>
      <c r="LYC248" s="22"/>
      <c r="LYD248" s="22"/>
      <c r="LYE248" s="22"/>
      <c r="LYF248" s="22"/>
      <c r="LYG248" s="22"/>
      <c r="LYH248" s="22"/>
      <c r="LYI248" s="22"/>
      <c r="LYJ248" s="22"/>
      <c r="LYK248" s="22"/>
      <c r="LYL248" s="22"/>
      <c r="LYM248" s="22"/>
      <c r="LYN248" s="22"/>
      <c r="LYO248" s="22"/>
      <c r="LYP248" s="22"/>
      <c r="LYQ248" s="22"/>
      <c r="LYR248" s="22"/>
      <c r="LYS248" s="22"/>
      <c r="LYT248" s="22"/>
      <c r="LYU248" s="22"/>
      <c r="LYV248" s="22"/>
      <c r="LYW248" s="22"/>
      <c r="LYX248" s="22"/>
      <c r="LYY248" s="22"/>
      <c r="LYZ248" s="22"/>
      <c r="LZA248" s="22"/>
      <c r="LZB248" s="22"/>
      <c r="LZC248" s="22"/>
      <c r="LZD248" s="22"/>
      <c r="LZE248" s="22"/>
      <c r="LZF248" s="22"/>
      <c r="LZG248" s="22"/>
      <c r="LZH248" s="22"/>
      <c r="LZI248" s="22"/>
      <c r="LZJ248" s="22"/>
      <c r="LZK248" s="22"/>
      <c r="LZL248" s="22"/>
      <c r="LZM248" s="22"/>
      <c r="LZN248" s="22"/>
      <c r="LZO248" s="22"/>
      <c r="LZP248" s="22"/>
      <c r="LZQ248" s="22"/>
      <c r="LZR248" s="22"/>
      <c r="LZS248" s="22"/>
      <c r="LZT248" s="22"/>
      <c r="LZU248" s="22"/>
      <c r="LZV248" s="22"/>
      <c r="LZW248" s="22"/>
      <c r="LZX248" s="22"/>
      <c r="LZY248" s="22"/>
      <c r="LZZ248" s="22"/>
      <c r="MAA248" s="22"/>
      <c r="MAB248" s="22"/>
      <c r="MAC248" s="22"/>
      <c r="MAD248" s="22"/>
      <c r="MAE248" s="22"/>
      <c r="MAF248" s="22"/>
      <c r="MAG248" s="22"/>
      <c r="MAH248" s="22"/>
      <c r="MAI248" s="22"/>
      <c r="MAJ248" s="22"/>
      <c r="MAK248" s="22"/>
      <c r="MAL248" s="22"/>
      <c r="MAM248" s="22"/>
      <c r="MAN248" s="22"/>
      <c r="MAO248" s="22"/>
      <c r="MAP248" s="22"/>
      <c r="MAQ248" s="22"/>
      <c r="MAR248" s="22"/>
      <c r="MAS248" s="22"/>
      <c r="MAT248" s="22"/>
      <c r="MAU248" s="22"/>
      <c r="MAV248" s="22"/>
      <c r="MAW248" s="22"/>
      <c r="MAX248" s="22"/>
      <c r="MAY248" s="22"/>
      <c r="MAZ248" s="22"/>
      <c r="MBA248" s="22"/>
      <c r="MBB248" s="22"/>
      <c r="MBC248" s="22"/>
      <c r="MBD248" s="22"/>
      <c r="MBE248" s="22"/>
      <c r="MBF248" s="22"/>
      <c r="MBG248" s="22"/>
      <c r="MBH248" s="22"/>
      <c r="MBI248" s="22"/>
      <c r="MBJ248" s="22"/>
      <c r="MBK248" s="22"/>
      <c r="MBL248" s="22"/>
      <c r="MBM248" s="22"/>
      <c r="MBN248" s="22"/>
      <c r="MBO248" s="22"/>
      <c r="MBP248" s="22"/>
      <c r="MBQ248" s="22"/>
      <c r="MBR248" s="22"/>
      <c r="MBS248" s="22"/>
      <c r="MBT248" s="22"/>
      <c r="MBU248" s="22"/>
      <c r="MBV248" s="22"/>
      <c r="MBW248" s="22"/>
      <c r="MBX248" s="22"/>
      <c r="MBY248" s="22"/>
      <c r="MBZ248" s="22"/>
      <c r="MCA248" s="22"/>
      <c r="MCB248" s="22"/>
      <c r="MCC248" s="22"/>
      <c r="MCD248" s="22"/>
      <c r="MCE248" s="22"/>
      <c r="MCF248" s="22"/>
      <c r="MCG248" s="22"/>
      <c r="MCH248" s="22"/>
      <c r="MCI248" s="22"/>
      <c r="MCJ248" s="22"/>
      <c r="MCK248" s="22"/>
      <c r="MCL248" s="22"/>
      <c r="MCM248" s="22"/>
      <c r="MCN248" s="22"/>
      <c r="MCO248" s="22"/>
      <c r="MCP248" s="22"/>
      <c r="MCQ248" s="22"/>
      <c r="MCR248" s="22"/>
      <c r="MCS248" s="22"/>
      <c r="MCT248" s="22"/>
      <c r="MCU248" s="22"/>
      <c r="MCV248" s="22"/>
      <c r="MCW248" s="22"/>
      <c r="MCX248" s="22"/>
      <c r="MCY248" s="22"/>
      <c r="MCZ248" s="22"/>
      <c r="MDA248" s="22"/>
      <c r="MDB248" s="22"/>
      <c r="MDC248" s="22"/>
      <c r="MDD248" s="22"/>
      <c r="MDE248" s="22"/>
      <c r="MDF248" s="22"/>
      <c r="MDG248" s="22"/>
      <c r="MDH248" s="22"/>
      <c r="MDI248" s="22"/>
      <c r="MDJ248" s="22"/>
      <c r="MDK248" s="22"/>
      <c r="MDL248" s="22"/>
      <c r="MDM248" s="22"/>
      <c r="MDN248" s="22"/>
      <c r="MDO248" s="22"/>
      <c r="MDP248" s="22"/>
      <c r="MDQ248" s="22"/>
      <c r="MDR248" s="22"/>
      <c r="MDS248" s="22"/>
      <c r="MDT248" s="22"/>
      <c r="MDU248" s="22"/>
      <c r="MDV248" s="22"/>
      <c r="MDW248" s="22"/>
      <c r="MDX248" s="22"/>
      <c r="MDY248" s="22"/>
      <c r="MDZ248" s="22"/>
      <c r="MEA248" s="22"/>
      <c r="MEB248" s="22"/>
      <c r="MEC248" s="22"/>
      <c r="MED248" s="22"/>
      <c r="MEE248" s="22"/>
      <c r="MEF248" s="22"/>
      <c r="MEG248" s="22"/>
      <c r="MEH248" s="22"/>
      <c r="MEI248" s="22"/>
      <c r="MEJ248" s="22"/>
      <c r="MEK248" s="22"/>
      <c r="MEL248" s="22"/>
      <c r="MEM248" s="22"/>
      <c r="MEN248" s="22"/>
      <c r="MEO248" s="22"/>
      <c r="MEP248" s="22"/>
      <c r="MEQ248" s="22"/>
      <c r="MER248" s="22"/>
      <c r="MES248" s="22"/>
      <c r="MET248" s="22"/>
      <c r="MEU248" s="22"/>
      <c r="MEV248" s="22"/>
      <c r="MEW248" s="22"/>
      <c r="MEX248" s="22"/>
      <c r="MEY248" s="22"/>
      <c r="MEZ248" s="22"/>
      <c r="MFA248" s="22"/>
      <c r="MFB248" s="22"/>
      <c r="MFC248" s="22"/>
      <c r="MFD248" s="22"/>
      <c r="MFE248" s="22"/>
      <c r="MFF248" s="22"/>
      <c r="MFG248" s="22"/>
      <c r="MFH248" s="22"/>
      <c r="MFI248" s="22"/>
      <c r="MFJ248" s="22"/>
      <c r="MFK248" s="22"/>
      <c r="MFL248" s="22"/>
      <c r="MFM248" s="22"/>
      <c r="MFN248" s="22"/>
      <c r="MFO248" s="22"/>
      <c r="MFP248" s="22"/>
      <c r="MFQ248" s="22"/>
      <c r="MFR248" s="22"/>
      <c r="MFS248" s="22"/>
      <c r="MFT248" s="22"/>
      <c r="MFU248" s="22"/>
      <c r="MFV248" s="22"/>
      <c r="MFW248" s="22"/>
      <c r="MFX248" s="22"/>
      <c r="MFY248" s="22"/>
      <c r="MFZ248" s="22"/>
      <c r="MGA248" s="22"/>
      <c r="MGB248" s="22"/>
      <c r="MGC248" s="22"/>
      <c r="MGD248" s="22"/>
      <c r="MGE248" s="22"/>
      <c r="MGF248" s="22"/>
      <c r="MGG248" s="22"/>
      <c r="MGH248" s="22"/>
      <c r="MGI248" s="22"/>
      <c r="MGJ248" s="22"/>
      <c r="MGK248" s="22"/>
      <c r="MGL248" s="22"/>
      <c r="MGM248" s="22"/>
      <c r="MGN248" s="22"/>
      <c r="MGO248" s="22"/>
      <c r="MGP248" s="22"/>
      <c r="MGQ248" s="22"/>
      <c r="MGR248" s="22"/>
      <c r="MGS248" s="22"/>
      <c r="MGT248" s="22"/>
      <c r="MGU248" s="22"/>
      <c r="MGV248" s="22"/>
      <c r="MGW248" s="22"/>
      <c r="MGX248" s="22"/>
      <c r="MGY248" s="22"/>
      <c r="MGZ248" s="22"/>
      <c r="MHA248" s="22"/>
      <c r="MHB248" s="22"/>
      <c r="MHC248" s="22"/>
      <c r="MHD248" s="22"/>
      <c r="MHE248" s="22"/>
      <c r="MHF248" s="22"/>
      <c r="MHG248" s="22"/>
      <c r="MHH248" s="22"/>
      <c r="MHI248" s="22"/>
      <c r="MHJ248" s="22"/>
      <c r="MHK248" s="22"/>
      <c r="MHL248" s="22"/>
      <c r="MHM248" s="22"/>
      <c r="MHN248" s="22"/>
      <c r="MHO248" s="22"/>
      <c r="MHP248" s="22"/>
      <c r="MHQ248" s="22"/>
      <c r="MHR248" s="22"/>
      <c r="MHS248" s="22"/>
      <c r="MHT248" s="22"/>
      <c r="MHU248" s="22"/>
      <c r="MHV248" s="22"/>
      <c r="MHW248" s="22"/>
      <c r="MHX248" s="22"/>
      <c r="MHY248" s="22"/>
      <c r="MHZ248" s="22"/>
      <c r="MIA248" s="22"/>
      <c r="MIB248" s="22"/>
      <c r="MIC248" s="22"/>
      <c r="MID248" s="22"/>
      <c r="MIE248" s="22"/>
      <c r="MIF248" s="22"/>
      <c r="MIG248" s="22"/>
      <c r="MIH248" s="22"/>
      <c r="MII248" s="22"/>
      <c r="MIJ248" s="22"/>
      <c r="MIK248" s="22"/>
      <c r="MIL248" s="22"/>
      <c r="MIM248" s="22"/>
      <c r="MIN248" s="22"/>
      <c r="MIO248" s="22"/>
      <c r="MIP248" s="22"/>
      <c r="MIQ248" s="22"/>
      <c r="MIR248" s="22"/>
      <c r="MIS248" s="22"/>
      <c r="MIT248" s="22"/>
      <c r="MIU248" s="22"/>
      <c r="MIV248" s="22"/>
      <c r="MIW248" s="22"/>
      <c r="MIX248" s="22"/>
      <c r="MIY248" s="22"/>
      <c r="MIZ248" s="22"/>
      <c r="MJA248" s="22"/>
      <c r="MJB248" s="22"/>
      <c r="MJC248" s="22"/>
      <c r="MJD248" s="22"/>
      <c r="MJE248" s="22"/>
      <c r="MJF248" s="22"/>
      <c r="MJG248" s="22"/>
      <c r="MJH248" s="22"/>
      <c r="MJI248" s="22"/>
      <c r="MJJ248" s="22"/>
      <c r="MJK248" s="22"/>
      <c r="MJL248" s="22"/>
      <c r="MJM248" s="22"/>
      <c r="MJN248" s="22"/>
      <c r="MJO248" s="22"/>
      <c r="MJP248" s="22"/>
      <c r="MJQ248" s="22"/>
      <c r="MJR248" s="22"/>
      <c r="MJS248" s="22"/>
      <c r="MJT248" s="22"/>
      <c r="MJU248" s="22"/>
      <c r="MJV248" s="22"/>
      <c r="MJW248" s="22"/>
      <c r="MJX248" s="22"/>
      <c r="MJY248" s="22"/>
      <c r="MJZ248" s="22"/>
      <c r="MKA248" s="22"/>
      <c r="MKB248" s="22"/>
      <c r="MKC248" s="22"/>
      <c r="MKD248" s="22"/>
      <c r="MKE248" s="22"/>
      <c r="MKF248" s="22"/>
      <c r="MKG248" s="22"/>
      <c r="MKH248" s="22"/>
      <c r="MKI248" s="22"/>
      <c r="MKJ248" s="22"/>
      <c r="MKK248" s="22"/>
      <c r="MKL248" s="22"/>
      <c r="MKM248" s="22"/>
      <c r="MKN248" s="22"/>
      <c r="MKO248" s="22"/>
      <c r="MKP248" s="22"/>
      <c r="MKQ248" s="22"/>
      <c r="MKR248" s="22"/>
      <c r="MKS248" s="22"/>
      <c r="MKT248" s="22"/>
      <c r="MKU248" s="22"/>
      <c r="MKV248" s="22"/>
      <c r="MKW248" s="22"/>
      <c r="MKX248" s="22"/>
      <c r="MKY248" s="22"/>
      <c r="MKZ248" s="22"/>
      <c r="MLA248" s="22"/>
      <c r="MLB248" s="22"/>
      <c r="MLC248" s="22"/>
      <c r="MLD248" s="22"/>
      <c r="MLE248" s="22"/>
      <c r="MLF248" s="22"/>
      <c r="MLG248" s="22"/>
      <c r="MLH248" s="22"/>
      <c r="MLI248" s="22"/>
      <c r="MLJ248" s="22"/>
      <c r="MLK248" s="22"/>
      <c r="MLL248" s="22"/>
      <c r="MLM248" s="22"/>
      <c r="MLN248" s="22"/>
      <c r="MLO248" s="22"/>
      <c r="MLP248" s="22"/>
      <c r="MLQ248" s="22"/>
      <c r="MLR248" s="22"/>
      <c r="MLS248" s="22"/>
      <c r="MLT248" s="22"/>
      <c r="MLU248" s="22"/>
      <c r="MLV248" s="22"/>
      <c r="MLW248" s="22"/>
      <c r="MLX248" s="22"/>
      <c r="MLY248" s="22"/>
      <c r="MLZ248" s="22"/>
      <c r="MMA248" s="22"/>
      <c r="MMB248" s="22"/>
      <c r="MMC248" s="22"/>
      <c r="MMD248" s="22"/>
      <c r="MME248" s="22"/>
      <c r="MMF248" s="22"/>
      <c r="MMG248" s="22"/>
      <c r="MMH248" s="22"/>
      <c r="MMI248" s="22"/>
      <c r="MMJ248" s="22"/>
      <c r="MMK248" s="22"/>
      <c r="MML248" s="22"/>
      <c r="MMM248" s="22"/>
      <c r="MMN248" s="22"/>
      <c r="MMO248" s="22"/>
      <c r="MMP248" s="22"/>
      <c r="MMQ248" s="22"/>
      <c r="MMR248" s="22"/>
      <c r="MMS248" s="22"/>
      <c r="MMT248" s="22"/>
      <c r="MMU248" s="22"/>
      <c r="MMV248" s="22"/>
      <c r="MMW248" s="22"/>
      <c r="MMX248" s="22"/>
      <c r="MMY248" s="22"/>
      <c r="MMZ248" s="22"/>
      <c r="MNA248" s="22"/>
      <c r="MNB248" s="22"/>
      <c r="MNC248" s="22"/>
      <c r="MND248" s="22"/>
      <c r="MNE248" s="22"/>
      <c r="MNF248" s="22"/>
      <c r="MNG248" s="22"/>
      <c r="MNH248" s="22"/>
      <c r="MNI248" s="22"/>
      <c r="MNJ248" s="22"/>
      <c r="MNK248" s="22"/>
      <c r="MNL248" s="22"/>
      <c r="MNM248" s="22"/>
      <c r="MNN248" s="22"/>
      <c r="MNO248" s="22"/>
      <c r="MNP248" s="22"/>
      <c r="MNQ248" s="22"/>
      <c r="MNR248" s="22"/>
      <c r="MNS248" s="22"/>
      <c r="MNT248" s="22"/>
      <c r="MNU248" s="22"/>
      <c r="MNV248" s="22"/>
      <c r="MNW248" s="22"/>
      <c r="MNX248" s="22"/>
      <c r="MNY248" s="22"/>
      <c r="MNZ248" s="22"/>
      <c r="MOA248" s="22"/>
      <c r="MOB248" s="22"/>
      <c r="MOC248" s="22"/>
      <c r="MOD248" s="22"/>
      <c r="MOE248" s="22"/>
      <c r="MOF248" s="22"/>
      <c r="MOG248" s="22"/>
      <c r="MOH248" s="22"/>
      <c r="MOI248" s="22"/>
      <c r="MOJ248" s="22"/>
      <c r="MOK248" s="22"/>
      <c r="MOL248" s="22"/>
      <c r="MOM248" s="22"/>
      <c r="MON248" s="22"/>
      <c r="MOO248" s="22"/>
      <c r="MOP248" s="22"/>
      <c r="MOQ248" s="22"/>
      <c r="MOR248" s="22"/>
      <c r="MOS248" s="22"/>
      <c r="MOT248" s="22"/>
      <c r="MOU248" s="22"/>
      <c r="MOV248" s="22"/>
      <c r="MOW248" s="22"/>
      <c r="MOX248" s="22"/>
      <c r="MOY248" s="22"/>
      <c r="MOZ248" s="22"/>
      <c r="MPA248" s="22"/>
      <c r="MPB248" s="22"/>
      <c r="MPC248" s="22"/>
      <c r="MPD248" s="22"/>
      <c r="MPE248" s="22"/>
      <c r="MPF248" s="22"/>
      <c r="MPG248" s="22"/>
      <c r="MPH248" s="22"/>
      <c r="MPI248" s="22"/>
      <c r="MPJ248" s="22"/>
      <c r="MPK248" s="22"/>
      <c r="MPL248" s="22"/>
      <c r="MPM248" s="22"/>
      <c r="MPN248" s="22"/>
      <c r="MPO248" s="22"/>
      <c r="MPP248" s="22"/>
      <c r="MPQ248" s="22"/>
      <c r="MPR248" s="22"/>
      <c r="MPS248" s="22"/>
      <c r="MPT248" s="22"/>
      <c r="MPU248" s="22"/>
      <c r="MPV248" s="22"/>
      <c r="MPW248" s="22"/>
      <c r="MPX248" s="22"/>
      <c r="MPY248" s="22"/>
      <c r="MPZ248" s="22"/>
      <c r="MQA248" s="22"/>
      <c r="MQB248" s="22"/>
      <c r="MQC248" s="22"/>
      <c r="MQD248" s="22"/>
      <c r="MQE248" s="22"/>
      <c r="MQF248" s="22"/>
      <c r="MQG248" s="22"/>
      <c r="MQH248" s="22"/>
      <c r="MQI248" s="22"/>
      <c r="MQJ248" s="22"/>
      <c r="MQK248" s="22"/>
      <c r="MQL248" s="22"/>
      <c r="MQM248" s="22"/>
      <c r="MQN248" s="22"/>
      <c r="MQO248" s="22"/>
      <c r="MQP248" s="22"/>
      <c r="MQQ248" s="22"/>
      <c r="MQR248" s="22"/>
      <c r="MQS248" s="22"/>
      <c r="MQT248" s="22"/>
      <c r="MQU248" s="22"/>
      <c r="MQV248" s="22"/>
      <c r="MQW248" s="22"/>
      <c r="MQX248" s="22"/>
      <c r="MQY248" s="22"/>
      <c r="MQZ248" s="22"/>
      <c r="MRA248" s="22"/>
      <c r="MRB248" s="22"/>
      <c r="MRC248" s="22"/>
      <c r="MRD248" s="22"/>
      <c r="MRE248" s="22"/>
      <c r="MRF248" s="22"/>
      <c r="MRG248" s="22"/>
      <c r="MRH248" s="22"/>
      <c r="MRI248" s="22"/>
      <c r="MRJ248" s="22"/>
      <c r="MRK248" s="22"/>
      <c r="MRL248" s="22"/>
      <c r="MRM248" s="22"/>
      <c r="MRN248" s="22"/>
      <c r="MRO248" s="22"/>
      <c r="MRP248" s="22"/>
      <c r="MRQ248" s="22"/>
      <c r="MRR248" s="22"/>
      <c r="MRS248" s="22"/>
      <c r="MRT248" s="22"/>
      <c r="MRU248" s="22"/>
      <c r="MRV248" s="22"/>
      <c r="MRW248" s="22"/>
      <c r="MRX248" s="22"/>
      <c r="MRY248" s="22"/>
      <c r="MRZ248" s="22"/>
      <c r="MSA248" s="22"/>
      <c r="MSB248" s="22"/>
      <c r="MSC248" s="22"/>
      <c r="MSD248" s="22"/>
      <c r="MSE248" s="22"/>
      <c r="MSF248" s="22"/>
      <c r="MSG248" s="22"/>
      <c r="MSH248" s="22"/>
      <c r="MSI248" s="22"/>
      <c r="MSJ248" s="22"/>
      <c r="MSK248" s="22"/>
      <c r="MSL248" s="22"/>
      <c r="MSM248" s="22"/>
      <c r="MSN248" s="22"/>
      <c r="MSO248" s="22"/>
      <c r="MSP248" s="22"/>
      <c r="MSQ248" s="22"/>
      <c r="MSR248" s="22"/>
      <c r="MSS248" s="22"/>
      <c r="MST248" s="22"/>
      <c r="MSU248" s="22"/>
      <c r="MSV248" s="22"/>
      <c r="MSW248" s="22"/>
      <c r="MSX248" s="22"/>
      <c r="MSY248" s="22"/>
      <c r="MSZ248" s="22"/>
      <c r="MTA248" s="22"/>
      <c r="MTB248" s="22"/>
      <c r="MTC248" s="22"/>
      <c r="MTD248" s="22"/>
      <c r="MTE248" s="22"/>
      <c r="MTF248" s="22"/>
      <c r="MTG248" s="22"/>
      <c r="MTH248" s="22"/>
      <c r="MTI248" s="22"/>
      <c r="MTJ248" s="22"/>
      <c r="MTK248" s="22"/>
      <c r="MTL248" s="22"/>
      <c r="MTM248" s="22"/>
      <c r="MTN248" s="22"/>
      <c r="MTO248" s="22"/>
      <c r="MTP248" s="22"/>
      <c r="MTQ248" s="22"/>
      <c r="MTR248" s="22"/>
      <c r="MTS248" s="22"/>
      <c r="MTT248" s="22"/>
      <c r="MTU248" s="22"/>
      <c r="MTV248" s="22"/>
      <c r="MTW248" s="22"/>
      <c r="MTX248" s="22"/>
      <c r="MTY248" s="22"/>
      <c r="MTZ248" s="22"/>
      <c r="MUA248" s="22"/>
      <c r="MUB248" s="22"/>
      <c r="MUC248" s="22"/>
      <c r="MUD248" s="22"/>
      <c r="MUE248" s="22"/>
      <c r="MUF248" s="22"/>
      <c r="MUG248" s="22"/>
      <c r="MUH248" s="22"/>
      <c r="MUI248" s="22"/>
      <c r="MUJ248" s="22"/>
      <c r="MUK248" s="22"/>
      <c r="MUL248" s="22"/>
      <c r="MUM248" s="22"/>
      <c r="MUN248" s="22"/>
      <c r="MUO248" s="22"/>
      <c r="MUP248" s="22"/>
      <c r="MUQ248" s="22"/>
      <c r="MUR248" s="22"/>
      <c r="MUS248" s="22"/>
      <c r="MUT248" s="22"/>
      <c r="MUU248" s="22"/>
      <c r="MUV248" s="22"/>
      <c r="MUW248" s="22"/>
      <c r="MUX248" s="22"/>
      <c r="MUY248" s="22"/>
      <c r="MUZ248" s="22"/>
      <c r="MVA248" s="22"/>
      <c r="MVB248" s="22"/>
      <c r="MVC248" s="22"/>
      <c r="MVD248" s="22"/>
      <c r="MVE248" s="22"/>
      <c r="MVF248" s="22"/>
      <c r="MVG248" s="22"/>
      <c r="MVH248" s="22"/>
      <c r="MVI248" s="22"/>
      <c r="MVJ248" s="22"/>
      <c r="MVK248" s="22"/>
      <c r="MVL248" s="22"/>
      <c r="MVM248" s="22"/>
      <c r="MVN248" s="22"/>
      <c r="MVO248" s="22"/>
      <c r="MVP248" s="22"/>
      <c r="MVQ248" s="22"/>
      <c r="MVR248" s="22"/>
      <c r="MVS248" s="22"/>
      <c r="MVT248" s="22"/>
      <c r="MVU248" s="22"/>
      <c r="MVV248" s="22"/>
      <c r="MVW248" s="22"/>
      <c r="MVX248" s="22"/>
      <c r="MVY248" s="22"/>
      <c r="MVZ248" s="22"/>
      <c r="MWA248" s="22"/>
      <c r="MWB248" s="22"/>
      <c r="MWC248" s="22"/>
      <c r="MWD248" s="22"/>
      <c r="MWE248" s="22"/>
      <c r="MWF248" s="22"/>
      <c r="MWG248" s="22"/>
      <c r="MWH248" s="22"/>
      <c r="MWI248" s="22"/>
      <c r="MWJ248" s="22"/>
      <c r="MWK248" s="22"/>
      <c r="MWL248" s="22"/>
      <c r="MWM248" s="22"/>
      <c r="MWN248" s="22"/>
      <c r="MWO248" s="22"/>
      <c r="MWP248" s="22"/>
      <c r="MWQ248" s="22"/>
      <c r="MWR248" s="22"/>
      <c r="MWS248" s="22"/>
      <c r="MWT248" s="22"/>
      <c r="MWU248" s="22"/>
      <c r="MWV248" s="22"/>
      <c r="MWW248" s="22"/>
      <c r="MWX248" s="22"/>
      <c r="MWY248" s="22"/>
      <c r="MWZ248" s="22"/>
      <c r="MXA248" s="22"/>
      <c r="MXB248" s="22"/>
      <c r="MXC248" s="22"/>
      <c r="MXD248" s="22"/>
      <c r="MXE248" s="22"/>
      <c r="MXF248" s="22"/>
      <c r="MXG248" s="22"/>
      <c r="MXH248" s="22"/>
      <c r="MXI248" s="22"/>
      <c r="MXJ248" s="22"/>
      <c r="MXK248" s="22"/>
      <c r="MXL248" s="22"/>
      <c r="MXM248" s="22"/>
      <c r="MXN248" s="22"/>
      <c r="MXO248" s="22"/>
      <c r="MXP248" s="22"/>
      <c r="MXQ248" s="22"/>
      <c r="MXR248" s="22"/>
      <c r="MXS248" s="22"/>
      <c r="MXT248" s="22"/>
      <c r="MXU248" s="22"/>
      <c r="MXV248" s="22"/>
      <c r="MXW248" s="22"/>
      <c r="MXX248" s="22"/>
      <c r="MXY248" s="22"/>
      <c r="MXZ248" s="22"/>
      <c r="MYA248" s="22"/>
      <c r="MYB248" s="22"/>
      <c r="MYC248" s="22"/>
      <c r="MYD248" s="22"/>
      <c r="MYE248" s="22"/>
      <c r="MYF248" s="22"/>
      <c r="MYG248" s="22"/>
      <c r="MYH248" s="22"/>
      <c r="MYI248" s="22"/>
      <c r="MYJ248" s="22"/>
      <c r="MYK248" s="22"/>
      <c r="MYL248" s="22"/>
      <c r="MYM248" s="22"/>
      <c r="MYN248" s="22"/>
      <c r="MYO248" s="22"/>
      <c r="MYP248" s="22"/>
      <c r="MYQ248" s="22"/>
      <c r="MYR248" s="22"/>
      <c r="MYS248" s="22"/>
      <c r="MYT248" s="22"/>
      <c r="MYU248" s="22"/>
      <c r="MYV248" s="22"/>
      <c r="MYW248" s="22"/>
      <c r="MYX248" s="22"/>
      <c r="MYY248" s="22"/>
      <c r="MYZ248" s="22"/>
      <c r="MZA248" s="22"/>
      <c r="MZB248" s="22"/>
      <c r="MZC248" s="22"/>
      <c r="MZD248" s="22"/>
      <c r="MZE248" s="22"/>
      <c r="MZF248" s="22"/>
      <c r="MZG248" s="22"/>
      <c r="MZH248" s="22"/>
      <c r="MZI248" s="22"/>
      <c r="MZJ248" s="22"/>
      <c r="MZK248" s="22"/>
      <c r="MZL248" s="22"/>
      <c r="MZM248" s="22"/>
      <c r="MZN248" s="22"/>
      <c r="MZO248" s="22"/>
      <c r="MZP248" s="22"/>
      <c r="MZQ248" s="22"/>
      <c r="MZR248" s="22"/>
      <c r="MZS248" s="22"/>
      <c r="MZT248" s="22"/>
      <c r="MZU248" s="22"/>
      <c r="MZV248" s="22"/>
      <c r="MZW248" s="22"/>
      <c r="MZX248" s="22"/>
      <c r="MZY248" s="22"/>
      <c r="MZZ248" s="22"/>
      <c r="NAA248" s="22"/>
      <c r="NAB248" s="22"/>
      <c r="NAC248" s="22"/>
      <c r="NAD248" s="22"/>
      <c r="NAE248" s="22"/>
      <c r="NAF248" s="22"/>
      <c r="NAG248" s="22"/>
      <c r="NAH248" s="22"/>
      <c r="NAI248" s="22"/>
      <c r="NAJ248" s="22"/>
      <c r="NAK248" s="22"/>
      <c r="NAL248" s="22"/>
      <c r="NAM248" s="22"/>
      <c r="NAN248" s="22"/>
      <c r="NAO248" s="22"/>
      <c r="NAP248" s="22"/>
      <c r="NAQ248" s="22"/>
      <c r="NAR248" s="22"/>
      <c r="NAS248" s="22"/>
      <c r="NAT248" s="22"/>
      <c r="NAU248" s="22"/>
      <c r="NAV248" s="22"/>
      <c r="NAW248" s="22"/>
      <c r="NAX248" s="22"/>
      <c r="NAY248" s="22"/>
      <c r="NAZ248" s="22"/>
      <c r="NBA248" s="22"/>
      <c r="NBB248" s="22"/>
      <c r="NBC248" s="22"/>
      <c r="NBD248" s="22"/>
      <c r="NBE248" s="22"/>
      <c r="NBF248" s="22"/>
      <c r="NBG248" s="22"/>
      <c r="NBH248" s="22"/>
      <c r="NBI248" s="22"/>
      <c r="NBJ248" s="22"/>
      <c r="NBK248" s="22"/>
      <c r="NBL248" s="22"/>
      <c r="NBM248" s="22"/>
      <c r="NBN248" s="22"/>
      <c r="NBO248" s="22"/>
      <c r="NBP248" s="22"/>
      <c r="NBQ248" s="22"/>
      <c r="NBR248" s="22"/>
      <c r="NBS248" s="22"/>
      <c r="NBT248" s="22"/>
      <c r="NBU248" s="22"/>
      <c r="NBV248" s="22"/>
      <c r="NBW248" s="22"/>
      <c r="NBX248" s="22"/>
      <c r="NBY248" s="22"/>
      <c r="NBZ248" s="22"/>
      <c r="NCA248" s="22"/>
      <c r="NCB248" s="22"/>
      <c r="NCC248" s="22"/>
      <c r="NCD248" s="22"/>
      <c r="NCE248" s="22"/>
      <c r="NCF248" s="22"/>
      <c r="NCG248" s="22"/>
      <c r="NCH248" s="22"/>
      <c r="NCI248" s="22"/>
      <c r="NCJ248" s="22"/>
      <c r="NCK248" s="22"/>
      <c r="NCL248" s="22"/>
      <c r="NCM248" s="22"/>
      <c r="NCN248" s="22"/>
      <c r="NCO248" s="22"/>
      <c r="NCP248" s="22"/>
      <c r="NCQ248" s="22"/>
      <c r="NCR248" s="22"/>
      <c r="NCS248" s="22"/>
      <c r="NCT248" s="22"/>
      <c r="NCU248" s="22"/>
      <c r="NCV248" s="22"/>
      <c r="NCW248" s="22"/>
      <c r="NCX248" s="22"/>
      <c r="NCY248" s="22"/>
      <c r="NCZ248" s="22"/>
      <c r="NDA248" s="22"/>
      <c r="NDB248" s="22"/>
      <c r="NDC248" s="22"/>
      <c r="NDD248" s="22"/>
      <c r="NDE248" s="22"/>
      <c r="NDF248" s="22"/>
      <c r="NDG248" s="22"/>
      <c r="NDH248" s="22"/>
      <c r="NDI248" s="22"/>
      <c r="NDJ248" s="22"/>
      <c r="NDK248" s="22"/>
      <c r="NDL248" s="22"/>
      <c r="NDM248" s="22"/>
      <c r="NDN248" s="22"/>
      <c r="NDO248" s="22"/>
      <c r="NDP248" s="22"/>
      <c r="NDQ248" s="22"/>
      <c r="NDR248" s="22"/>
      <c r="NDS248" s="22"/>
      <c r="NDT248" s="22"/>
      <c r="NDU248" s="22"/>
      <c r="NDV248" s="22"/>
      <c r="NDW248" s="22"/>
      <c r="NDX248" s="22"/>
      <c r="NDY248" s="22"/>
      <c r="NDZ248" s="22"/>
      <c r="NEA248" s="22"/>
      <c r="NEB248" s="22"/>
      <c r="NEC248" s="22"/>
      <c r="NED248" s="22"/>
      <c r="NEE248" s="22"/>
      <c r="NEF248" s="22"/>
      <c r="NEG248" s="22"/>
      <c r="NEH248" s="22"/>
      <c r="NEI248" s="22"/>
      <c r="NEJ248" s="22"/>
      <c r="NEK248" s="22"/>
      <c r="NEL248" s="22"/>
      <c r="NEM248" s="22"/>
      <c r="NEN248" s="22"/>
      <c r="NEO248" s="22"/>
      <c r="NEP248" s="22"/>
      <c r="NEQ248" s="22"/>
      <c r="NER248" s="22"/>
      <c r="NES248" s="22"/>
      <c r="NET248" s="22"/>
      <c r="NEU248" s="22"/>
      <c r="NEV248" s="22"/>
      <c r="NEW248" s="22"/>
      <c r="NEX248" s="22"/>
      <c r="NEY248" s="22"/>
      <c r="NEZ248" s="22"/>
      <c r="NFA248" s="22"/>
      <c r="NFB248" s="22"/>
      <c r="NFC248" s="22"/>
      <c r="NFD248" s="22"/>
      <c r="NFE248" s="22"/>
      <c r="NFF248" s="22"/>
      <c r="NFG248" s="22"/>
      <c r="NFH248" s="22"/>
      <c r="NFI248" s="22"/>
      <c r="NFJ248" s="22"/>
      <c r="NFK248" s="22"/>
      <c r="NFL248" s="22"/>
      <c r="NFM248" s="22"/>
      <c r="NFN248" s="22"/>
      <c r="NFO248" s="22"/>
      <c r="NFP248" s="22"/>
      <c r="NFQ248" s="22"/>
      <c r="NFR248" s="22"/>
      <c r="NFS248" s="22"/>
      <c r="NFT248" s="22"/>
      <c r="NFU248" s="22"/>
      <c r="NFV248" s="22"/>
      <c r="NFW248" s="22"/>
      <c r="NFX248" s="22"/>
      <c r="NFY248" s="22"/>
      <c r="NFZ248" s="22"/>
      <c r="NGA248" s="22"/>
      <c r="NGB248" s="22"/>
      <c r="NGC248" s="22"/>
      <c r="NGD248" s="22"/>
      <c r="NGE248" s="22"/>
      <c r="NGF248" s="22"/>
      <c r="NGG248" s="22"/>
      <c r="NGH248" s="22"/>
      <c r="NGI248" s="22"/>
      <c r="NGJ248" s="22"/>
      <c r="NGK248" s="22"/>
      <c r="NGL248" s="22"/>
      <c r="NGM248" s="22"/>
      <c r="NGN248" s="22"/>
      <c r="NGO248" s="22"/>
      <c r="NGP248" s="22"/>
      <c r="NGQ248" s="22"/>
      <c r="NGR248" s="22"/>
      <c r="NGS248" s="22"/>
      <c r="NGT248" s="22"/>
      <c r="NGU248" s="22"/>
      <c r="NGV248" s="22"/>
      <c r="NGW248" s="22"/>
      <c r="NGX248" s="22"/>
      <c r="NGY248" s="22"/>
      <c r="NGZ248" s="22"/>
      <c r="NHA248" s="22"/>
      <c r="NHB248" s="22"/>
      <c r="NHC248" s="22"/>
      <c r="NHD248" s="22"/>
      <c r="NHE248" s="22"/>
      <c r="NHF248" s="22"/>
      <c r="NHG248" s="22"/>
      <c r="NHH248" s="22"/>
      <c r="NHI248" s="22"/>
      <c r="NHJ248" s="22"/>
      <c r="NHK248" s="22"/>
      <c r="NHL248" s="22"/>
      <c r="NHM248" s="22"/>
      <c r="NHN248" s="22"/>
      <c r="NHO248" s="22"/>
      <c r="NHP248" s="22"/>
      <c r="NHQ248" s="22"/>
      <c r="NHR248" s="22"/>
      <c r="NHS248" s="22"/>
      <c r="NHT248" s="22"/>
      <c r="NHU248" s="22"/>
      <c r="NHV248" s="22"/>
      <c r="NHW248" s="22"/>
      <c r="NHX248" s="22"/>
      <c r="NHY248" s="22"/>
      <c r="NHZ248" s="22"/>
      <c r="NIA248" s="22"/>
      <c r="NIB248" s="22"/>
      <c r="NIC248" s="22"/>
      <c r="NID248" s="22"/>
      <c r="NIE248" s="22"/>
      <c r="NIF248" s="22"/>
      <c r="NIG248" s="22"/>
      <c r="NIH248" s="22"/>
      <c r="NII248" s="22"/>
      <c r="NIJ248" s="22"/>
      <c r="NIK248" s="22"/>
      <c r="NIL248" s="22"/>
      <c r="NIM248" s="22"/>
      <c r="NIN248" s="22"/>
      <c r="NIO248" s="22"/>
      <c r="NIP248" s="22"/>
      <c r="NIQ248" s="22"/>
      <c r="NIR248" s="22"/>
      <c r="NIS248" s="22"/>
      <c r="NIT248" s="22"/>
      <c r="NIU248" s="22"/>
      <c r="NIV248" s="22"/>
      <c r="NIW248" s="22"/>
      <c r="NIX248" s="22"/>
      <c r="NIY248" s="22"/>
      <c r="NIZ248" s="22"/>
      <c r="NJA248" s="22"/>
      <c r="NJB248" s="22"/>
      <c r="NJC248" s="22"/>
      <c r="NJD248" s="22"/>
      <c r="NJE248" s="22"/>
      <c r="NJF248" s="22"/>
      <c r="NJG248" s="22"/>
      <c r="NJH248" s="22"/>
      <c r="NJI248" s="22"/>
      <c r="NJJ248" s="22"/>
      <c r="NJK248" s="22"/>
      <c r="NJL248" s="22"/>
      <c r="NJM248" s="22"/>
      <c r="NJN248" s="22"/>
      <c r="NJO248" s="22"/>
      <c r="NJP248" s="22"/>
      <c r="NJQ248" s="22"/>
      <c r="NJR248" s="22"/>
      <c r="NJS248" s="22"/>
      <c r="NJT248" s="22"/>
      <c r="NJU248" s="22"/>
      <c r="NJV248" s="22"/>
      <c r="NJW248" s="22"/>
      <c r="NJX248" s="22"/>
      <c r="NJY248" s="22"/>
      <c r="NJZ248" s="22"/>
      <c r="NKA248" s="22"/>
      <c r="NKB248" s="22"/>
      <c r="NKC248" s="22"/>
      <c r="NKD248" s="22"/>
      <c r="NKE248" s="22"/>
      <c r="NKF248" s="22"/>
      <c r="NKG248" s="22"/>
      <c r="NKH248" s="22"/>
      <c r="NKI248" s="22"/>
      <c r="NKJ248" s="22"/>
      <c r="NKK248" s="22"/>
      <c r="NKL248" s="22"/>
      <c r="NKM248" s="22"/>
      <c r="NKN248" s="22"/>
      <c r="NKO248" s="22"/>
      <c r="NKP248" s="22"/>
      <c r="NKQ248" s="22"/>
      <c r="NKR248" s="22"/>
      <c r="NKS248" s="22"/>
      <c r="NKT248" s="22"/>
      <c r="NKU248" s="22"/>
      <c r="NKV248" s="22"/>
      <c r="NKW248" s="22"/>
      <c r="NKX248" s="22"/>
      <c r="NKY248" s="22"/>
      <c r="NKZ248" s="22"/>
      <c r="NLA248" s="22"/>
      <c r="NLB248" s="22"/>
      <c r="NLC248" s="22"/>
      <c r="NLD248" s="22"/>
      <c r="NLE248" s="22"/>
      <c r="NLF248" s="22"/>
      <c r="NLG248" s="22"/>
      <c r="NLH248" s="22"/>
      <c r="NLI248" s="22"/>
      <c r="NLJ248" s="22"/>
      <c r="NLK248" s="22"/>
      <c r="NLL248" s="22"/>
      <c r="NLM248" s="22"/>
      <c r="NLN248" s="22"/>
      <c r="NLO248" s="22"/>
      <c r="NLP248" s="22"/>
      <c r="NLQ248" s="22"/>
      <c r="NLR248" s="22"/>
      <c r="NLS248" s="22"/>
      <c r="NLT248" s="22"/>
      <c r="NLU248" s="22"/>
      <c r="NLV248" s="22"/>
      <c r="NLW248" s="22"/>
      <c r="NLX248" s="22"/>
      <c r="NLY248" s="22"/>
      <c r="NLZ248" s="22"/>
      <c r="NMA248" s="22"/>
      <c r="NMB248" s="22"/>
      <c r="NMC248" s="22"/>
      <c r="NMD248" s="22"/>
      <c r="NME248" s="22"/>
      <c r="NMF248" s="22"/>
      <c r="NMG248" s="22"/>
      <c r="NMH248" s="22"/>
      <c r="NMI248" s="22"/>
      <c r="NMJ248" s="22"/>
      <c r="NMK248" s="22"/>
      <c r="NML248" s="22"/>
      <c r="NMM248" s="22"/>
      <c r="NMN248" s="22"/>
      <c r="NMO248" s="22"/>
      <c r="NMP248" s="22"/>
      <c r="NMQ248" s="22"/>
      <c r="NMR248" s="22"/>
      <c r="NMS248" s="22"/>
      <c r="NMT248" s="22"/>
      <c r="NMU248" s="22"/>
      <c r="NMV248" s="22"/>
      <c r="NMW248" s="22"/>
      <c r="NMX248" s="22"/>
      <c r="NMY248" s="22"/>
      <c r="NMZ248" s="22"/>
      <c r="NNA248" s="22"/>
      <c r="NNB248" s="22"/>
      <c r="NNC248" s="22"/>
      <c r="NND248" s="22"/>
      <c r="NNE248" s="22"/>
      <c r="NNF248" s="22"/>
      <c r="NNG248" s="22"/>
      <c r="NNH248" s="22"/>
      <c r="NNI248" s="22"/>
      <c r="NNJ248" s="22"/>
      <c r="NNK248" s="22"/>
      <c r="NNL248" s="22"/>
      <c r="NNM248" s="22"/>
      <c r="NNN248" s="22"/>
      <c r="NNO248" s="22"/>
      <c r="NNP248" s="22"/>
      <c r="NNQ248" s="22"/>
      <c r="NNR248" s="22"/>
      <c r="NNS248" s="22"/>
      <c r="NNT248" s="22"/>
      <c r="NNU248" s="22"/>
      <c r="NNV248" s="22"/>
      <c r="NNW248" s="22"/>
      <c r="NNX248" s="22"/>
      <c r="NNY248" s="22"/>
      <c r="NNZ248" s="22"/>
      <c r="NOA248" s="22"/>
      <c r="NOB248" s="22"/>
      <c r="NOC248" s="22"/>
      <c r="NOD248" s="22"/>
      <c r="NOE248" s="22"/>
      <c r="NOF248" s="22"/>
      <c r="NOG248" s="22"/>
      <c r="NOH248" s="22"/>
      <c r="NOI248" s="22"/>
      <c r="NOJ248" s="22"/>
      <c r="NOK248" s="22"/>
      <c r="NOL248" s="22"/>
      <c r="NOM248" s="22"/>
      <c r="NON248" s="22"/>
      <c r="NOO248" s="22"/>
      <c r="NOP248" s="22"/>
      <c r="NOQ248" s="22"/>
      <c r="NOR248" s="22"/>
      <c r="NOS248" s="22"/>
      <c r="NOT248" s="22"/>
      <c r="NOU248" s="22"/>
      <c r="NOV248" s="22"/>
      <c r="NOW248" s="22"/>
      <c r="NOX248" s="22"/>
      <c r="NOY248" s="22"/>
      <c r="NOZ248" s="22"/>
      <c r="NPA248" s="22"/>
      <c r="NPB248" s="22"/>
      <c r="NPC248" s="22"/>
      <c r="NPD248" s="22"/>
      <c r="NPE248" s="22"/>
      <c r="NPF248" s="22"/>
      <c r="NPG248" s="22"/>
      <c r="NPH248" s="22"/>
      <c r="NPI248" s="22"/>
      <c r="NPJ248" s="22"/>
      <c r="NPK248" s="22"/>
      <c r="NPL248" s="22"/>
      <c r="NPM248" s="22"/>
      <c r="NPN248" s="22"/>
      <c r="NPO248" s="22"/>
      <c r="NPP248" s="22"/>
      <c r="NPQ248" s="22"/>
      <c r="NPR248" s="22"/>
      <c r="NPS248" s="22"/>
      <c r="NPT248" s="22"/>
      <c r="NPU248" s="22"/>
      <c r="NPV248" s="22"/>
      <c r="NPW248" s="22"/>
      <c r="NPX248" s="22"/>
      <c r="NPY248" s="22"/>
      <c r="NPZ248" s="22"/>
      <c r="NQA248" s="22"/>
      <c r="NQB248" s="22"/>
      <c r="NQC248" s="22"/>
      <c r="NQD248" s="22"/>
      <c r="NQE248" s="22"/>
      <c r="NQF248" s="22"/>
      <c r="NQG248" s="22"/>
      <c r="NQH248" s="22"/>
      <c r="NQI248" s="22"/>
      <c r="NQJ248" s="22"/>
      <c r="NQK248" s="22"/>
      <c r="NQL248" s="22"/>
      <c r="NQM248" s="22"/>
      <c r="NQN248" s="22"/>
      <c r="NQO248" s="22"/>
      <c r="NQP248" s="22"/>
      <c r="NQQ248" s="22"/>
      <c r="NQR248" s="22"/>
      <c r="NQS248" s="22"/>
      <c r="NQT248" s="22"/>
      <c r="NQU248" s="22"/>
      <c r="NQV248" s="22"/>
      <c r="NQW248" s="22"/>
      <c r="NQX248" s="22"/>
      <c r="NQY248" s="22"/>
      <c r="NQZ248" s="22"/>
      <c r="NRA248" s="22"/>
      <c r="NRB248" s="22"/>
      <c r="NRC248" s="22"/>
      <c r="NRD248" s="22"/>
      <c r="NRE248" s="22"/>
      <c r="NRF248" s="22"/>
      <c r="NRG248" s="22"/>
      <c r="NRH248" s="22"/>
      <c r="NRI248" s="22"/>
      <c r="NRJ248" s="22"/>
      <c r="NRK248" s="22"/>
      <c r="NRL248" s="22"/>
      <c r="NRM248" s="22"/>
      <c r="NRN248" s="22"/>
      <c r="NRO248" s="22"/>
      <c r="NRP248" s="22"/>
      <c r="NRQ248" s="22"/>
      <c r="NRR248" s="22"/>
      <c r="NRS248" s="22"/>
      <c r="NRT248" s="22"/>
      <c r="NRU248" s="22"/>
      <c r="NRV248" s="22"/>
      <c r="NRW248" s="22"/>
      <c r="NRX248" s="22"/>
      <c r="NRY248" s="22"/>
      <c r="NRZ248" s="22"/>
      <c r="NSA248" s="22"/>
      <c r="NSB248" s="22"/>
      <c r="NSC248" s="22"/>
      <c r="NSD248" s="22"/>
      <c r="NSE248" s="22"/>
      <c r="NSF248" s="22"/>
      <c r="NSG248" s="22"/>
      <c r="NSH248" s="22"/>
      <c r="NSI248" s="22"/>
      <c r="NSJ248" s="22"/>
      <c r="NSK248" s="22"/>
      <c r="NSL248" s="22"/>
      <c r="NSM248" s="22"/>
      <c r="NSN248" s="22"/>
      <c r="NSO248" s="22"/>
      <c r="NSP248" s="22"/>
      <c r="NSQ248" s="22"/>
      <c r="NSR248" s="22"/>
      <c r="NSS248" s="22"/>
      <c r="NST248" s="22"/>
      <c r="NSU248" s="22"/>
      <c r="NSV248" s="22"/>
      <c r="NSW248" s="22"/>
      <c r="NSX248" s="22"/>
      <c r="NSY248" s="22"/>
      <c r="NSZ248" s="22"/>
      <c r="NTA248" s="22"/>
      <c r="NTB248" s="22"/>
      <c r="NTC248" s="22"/>
      <c r="NTD248" s="22"/>
      <c r="NTE248" s="22"/>
      <c r="NTF248" s="22"/>
      <c r="NTG248" s="22"/>
      <c r="NTH248" s="22"/>
      <c r="NTI248" s="22"/>
      <c r="NTJ248" s="22"/>
      <c r="NTK248" s="22"/>
      <c r="NTL248" s="22"/>
      <c r="NTM248" s="22"/>
      <c r="NTN248" s="22"/>
      <c r="NTO248" s="22"/>
      <c r="NTP248" s="22"/>
      <c r="NTQ248" s="22"/>
      <c r="NTR248" s="22"/>
      <c r="NTS248" s="22"/>
      <c r="NTT248" s="22"/>
      <c r="NTU248" s="22"/>
      <c r="NTV248" s="22"/>
      <c r="NTW248" s="22"/>
      <c r="NTX248" s="22"/>
      <c r="NTY248" s="22"/>
      <c r="NTZ248" s="22"/>
      <c r="NUA248" s="22"/>
      <c r="NUB248" s="22"/>
      <c r="NUC248" s="22"/>
      <c r="NUD248" s="22"/>
      <c r="NUE248" s="22"/>
      <c r="NUF248" s="22"/>
      <c r="NUG248" s="22"/>
      <c r="NUH248" s="22"/>
      <c r="NUI248" s="22"/>
      <c r="NUJ248" s="22"/>
      <c r="NUK248" s="22"/>
      <c r="NUL248" s="22"/>
      <c r="NUM248" s="22"/>
      <c r="NUN248" s="22"/>
      <c r="NUO248" s="22"/>
      <c r="NUP248" s="22"/>
      <c r="NUQ248" s="22"/>
      <c r="NUR248" s="22"/>
      <c r="NUS248" s="22"/>
      <c r="NUT248" s="22"/>
      <c r="NUU248" s="22"/>
      <c r="NUV248" s="22"/>
      <c r="NUW248" s="22"/>
      <c r="NUX248" s="22"/>
      <c r="NUY248" s="22"/>
      <c r="NUZ248" s="22"/>
      <c r="NVA248" s="22"/>
      <c r="NVB248" s="22"/>
      <c r="NVC248" s="22"/>
      <c r="NVD248" s="22"/>
      <c r="NVE248" s="22"/>
      <c r="NVF248" s="22"/>
      <c r="NVG248" s="22"/>
      <c r="NVH248" s="22"/>
      <c r="NVI248" s="22"/>
      <c r="NVJ248" s="22"/>
      <c r="NVK248" s="22"/>
      <c r="NVL248" s="22"/>
      <c r="NVM248" s="22"/>
      <c r="NVN248" s="22"/>
      <c r="NVO248" s="22"/>
      <c r="NVP248" s="22"/>
      <c r="NVQ248" s="22"/>
      <c r="NVR248" s="22"/>
      <c r="NVS248" s="22"/>
      <c r="NVT248" s="22"/>
      <c r="NVU248" s="22"/>
      <c r="NVV248" s="22"/>
      <c r="NVW248" s="22"/>
      <c r="NVX248" s="22"/>
      <c r="NVY248" s="22"/>
      <c r="NVZ248" s="22"/>
      <c r="NWA248" s="22"/>
      <c r="NWB248" s="22"/>
      <c r="NWC248" s="22"/>
      <c r="NWD248" s="22"/>
      <c r="NWE248" s="22"/>
      <c r="NWF248" s="22"/>
      <c r="NWG248" s="22"/>
      <c r="NWH248" s="22"/>
      <c r="NWI248" s="22"/>
      <c r="NWJ248" s="22"/>
      <c r="NWK248" s="22"/>
      <c r="NWL248" s="22"/>
      <c r="NWM248" s="22"/>
      <c r="NWN248" s="22"/>
      <c r="NWO248" s="22"/>
      <c r="NWP248" s="22"/>
      <c r="NWQ248" s="22"/>
      <c r="NWR248" s="22"/>
      <c r="NWS248" s="22"/>
      <c r="NWT248" s="22"/>
      <c r="NWU248" s="22"/>
      <c r="NWV248" s="22"/>
      <c r="NWW248" s="22"/>
      <c r="NWX248" s="22"/>
      <c r="NWY248" s="22"/>
      <c r="NWZ248" s="22"/>
      <c r="NXA248" s="22"/>
      <c r="NXB248" s="22"/>
      <c r="NXC248" s="22"/>
      <c r="NXD248" s="22"/>
      <c r="NXE248" s="22"/>
      <c r="NXF248" s="22"/>
      <c r="NXG248" s="22"/>
      <c r="NXH248" s="22"/>
      <c r="NXI248" s="22"/>
      <c r="NXJ248" s="22"/>
      <c r="NXK248" s="22"/>
      <c r="NXL248" s="22"/>
      <c r="NXM248" s="22"/>
      <c r="NXN248" s="22"/>
      <c r="NXO248" s="22"/>
      <c r="NXP248" s="22"/>
      <c r="NXQ248" s="22"/>
      <c r="NXR248" s="22"/>
      <c r="NXS248" s="22"/>
      <c r="NXT248" s="22"/>
      <c r="NXU248" s="22"/>
      <c r="NXV248" s="22"/>
      <c r="NXW248" s="22"/>
      <c r="NXX248" s="22"/>
      <c r="NXY248" s="22"/>
      <c r="NXZ248" s="22"/>
      <c r="NYA248" s="22"/>
      <c r="NYB248" s="22"/>
      <c r="NYC248" s="22"/>
      <c r="NYD248" s="22"/>
      <c r="NYE248" s="22"/>
      <c r="NYF248" s="22"/>
      <c r="NYG248" s="22"/>
      <c r="NYH248" s="22"/>
      <c r="NYI248" s="22"/>
      <c r="NYJ248" s="22"/>
      <c r="NYK248" s="22"/>
      <c r="NYL248" s="22"/>
      <c r="NYM248" s="22"/>
      <c r="NYN248" s="22"/>
      <c r="NYO248" s="22"/>
      <c r="NYP248" s="22"/>
      <c r="NYQ248" s="22"/>
      <c r="NYR248" s="22"/>
      <c r="NYS248" s="22"/>
      <c r="NYT248" s="22"/>
      <c r="NYU248" s="22"/>
      <c r="NYV248" s="22"/>
      <c r="NYW248" s="22"/>
      <c r="NYX248" s="22"/>
      <c r="NYY248" s="22"/>
      <c r="NYZ248" s="22"/>
      <c r="NZA248" s="22"/>
      <c r="NZB248" s="22"/>
      <c r="NZC248" s="22"/>
      <c r="NZD248" s="22"/>
      <c r="NZE248" s="22"/>
      <c r="NZF248" s="22"/>
      <c r="NZG248" s="22"/>
      <c r="NZH248" s="22"/>
      <c r="NZI248" s="22"/>
      <c r="NZJ248" s="22"/>
      <c r="NZK248" s="22"/>
      <c r="NZL248" s="22"/>
      <c r="NZM248" s="22"/>
      <c r="NZN248" s="22"/>
      <c r="NZO248" s="22"/>
      <c r="NZP248" s="22"/>
      <c r="NZQ248" s="22"/>
      <c r="NZR248" s="22"/>
      <c r="NZS248" s="22"/>
      <c r="NZT248" s="22"/>
      <c r="NZU248" s="22"/>
      <c r="NZV248" s="22"/>
      <c r="NZW248" s="22"/>
      <c r="NZX248" s="22"/>
      <c r="NZY248" s="22"/>
      <c r="NZZ248" s="22"/>
      <c r="OAA248" s="22"/>
      <c r="OAB248" s="22"/>
      <c r="OAC248" s="22"/>
      <c r="OAD248" s="22"/>
      <c r="OAE248" s="22"/>
      <c r="OAF248" s="22"/>
      <c r="OAG248" s="22"/>
      <c r="OAH248" s="22"/>
      <c r="OAI248" s="22"/>
      <c r="OAJ248" s="22"/>
      <c r="OAK248" s="22"/>
      <c r="OAL248" s="22"/>
      <c r="OAM248" s="22"/>
      <c r="OAN248" s="22"/>
      <c r="OAO248" s="22"/>
      <c r="OAP248" s="22"/>
      <c r="OAQ248" s="22"/>
      <c r="OAR248" s="22"/>
      <c r="OAS248" s="22"/>
      <c r="OAT248" s="22"/>
      <c r="OAU248" s="22"/>
      <c r="OAV248" s="22"/>
      <c r="OAW248" s="22"/>
      <c r="OAX248" s="22"/>
      <c r="OAY248" s="22"/>
      <c r="OAZ248" s="22"/>
      <c r="OBA248" s="22"/>
      <c r="OBB248" s="22"/>
      <c r="OBC248" s="22"/>
      <c r="OBD248" s="22"/>
      <c r="OBE248" s="22"/>
      <c r="OBF248" s="22"/>
      <c r="OBG248" s="22"/>
      <c r="OBH248" s="22"/>
      <c r="OBI248" s="22"/>
      <c r="OBJ248" s="22"/>
      <c r="OBK248" s="22"/>
      <c r="OBL248" s="22"/>
      <c r="OBM248" s="22"/>
      <c r="OBN248" s="22"/>
      <c r="OBO248" s="22"/>
      <c r="OBP248" s="22"/>
      <c r="OBQ248" s="22"/>
      <c r="OBR248" s="22"/>
      <c r="OBS248" s="22"/>
      <c r="OBT248" s="22"/>
      <c r="OBU248" s="22"/>
      <c r="OBV248" s="22"/>
      <c r="OBW248" s="22"/>
      <c r="OBX248" s="22"/>
      <c r="OBY248" s="22"/>
      <c r="OBZ248" s="22"/>
      <c r="OCA248" s="22"/>
      <c r="OCB248" s="22"/>
      <c r="OCC248" s="22"/>
      <c r="OCD248" s="22"/>
      <c r="OCE248" s="22"/>
      <c r="OCF248" s="22"/>
      <c r="OCG248" s="22"/>
      <c r="OCH248" s="22"/>
      <c r="OCI248" s="22"/>
      <c r="OCJ248" s="22"/>
      <c r="OCK248" s="22"/>
      <c r="OCL248" s="22"/>
      <c r="OCM248" s="22"/>
      <c r="OCN248" s="22"/>
      <c r="OCO248" s="22"/>
      <c r="OCP248" s="22"/>
      <c r="OCQ248" s="22"/>
      <c r="OCR248" s="22"/>
      <c r="OCS248" s="22"/>
      <c r="OCT248" s="22"/>
      <c r="OCU248" s="22"/>
      <c r="OCV248" s="22"/>
      <c r="OCW248" s="22"/>
      <c r="OCX248" s="22"/>
      <c r="OCY248" s="22"/>
      <c r="OCZ248" s="22"/>
      <c r="ODA248" s="22"/>
      <c r="ODB248" s="22"/>
      <c r="ODC248" s="22"/>
      <c r="ODD248" s="22"/>
      <c r="ODE248" s="22"/>
      <c r="ODF248" s="22"/>
      <c r="ODG248" s="22"/>
      <c r="ODH248" s="22"/>
      <c r="ODI248" s="22"/>
      <c r="ODJ248" s="22"/>
      <c r="ODK248" s="22"/>
      <c r="ODL248" s="22"/>
      <c r="ODM248" s="22"/>
      <c r="ODN248" s="22"/>
      <c r="ODO248" s="22"/>
      <c r="ODP248" s="22"/>
      <c r="ODQ248" s="22"/>
      <c r="ODR248" s="22"/>
      <c r="ODS248" s="22"/>
      <c r="ODT248" s="22"/>
      <c r="ODU248" s="22"/>
      <c r="ODV248" s="22"/>
      <c r="ODW248" s="22"/>
      <c r="ODX248" s="22"/>
      <c r="ODY248" s="22"/>
      <c r="ODZ248" s="22"/>
      <c r="OEA248" s="22"/>
      <c r="OEB248" s="22"/>
      <c r="OEC248" s="22"/>
      <c r="OED248" s="22"/>
      <c r="OEE248" s="22"/>
      <c r="OEF248" s="22"/>
      <c r="OEG248" s="22"/>
      <c r="OEH248" s="22"/>
      <c r="OEI248" s="22"/>
      <c r="OEJ248" s="22"/>
      <c r="OEK248" s="22"/>
      <c r="OEL248" s="22"/>
      <c r="OEM248" s="22"/>
      <c r="OEN248" s="22"/>
      <c r="OEO248" s="22"/>
      <c r="OEP248" s="22"/>
      <c r="OEQ248" s="22"/>
      <c r="OER248" s="22"/>
      <c r="OES248" s="22"/>
      <c r="OET248" s="22"/>
      <c r="OEU248" s="22"/>
      <c r="OEV248" s="22"/>
      <c r="OEW248" s="22"/>
      <c r="OEX248" s="22"/>
      <c r="OEY248" s="22"/>
      <c r="OEZ248" s="22"/>
      <c r="OFA248" s="22"/>
      <c r="OFB248" s="22"/>
      <c r="OFC248" s="22"/>
      <c r="OFD248" s="22"/>
      <c r="OFE248" s="22"/>
      <c r="OFF248" s="22"/>
      <c r="OFG248" s="22"/>
      <c r="OFH248" s="22"/>
      <c r="OFI248" s="22"/>
      <c r="OFJ248" s="22"/>
      <c r="OFK248" s="22"/>
      <c r="OFL248" s="22"/>
      <c r="OFM248" s="22"/>
      <c r="OFN248" s="22"/>
      <c r="OFO248" s="22"/>
      <c r="OFP248" s="22"/>
      <c r="OFQ248" s="22"/>
      <c r="OFR248" s="22"/>
      <c r="OFS248" s="22"/>
      <c r="OFT248" s="22"/>
      <c r="OFU248" s="22"/>
      <c r="OFV248" s="22"/>
      <c r="OFW248" s="22"/>
      <c r="OFX248" s="22"/>
      <c r="OFY248" s="22"/>
      <c r="OFZ248" s="22"/>
      <c r="OGA248" s="22"/>
      <c r="OGB248" s="22"/>
      <c r="OGC248" s="22"/>
      <c r="OGD248" s="22"/>
      <c r="OGE248" s="22"/>
      <c r="OGF248" s="22"/>
      <c r="OGG248" s="22"/>
      <c r="OGH248" s="22"/>
      <c r="OGI248" s="22"/>
      <c r="OGJ248" s="22"/>
      <c r="OGK248" s="22"/>
      <c r="OGL248" s="22"/>
      <c r="OGM248" s="22"/>
      <c r="OGN248" s="22"/>
      <c r="OGO248" s="22"/>
      <c r="OGP248" s="22"/>
      <c r="OGQ248" s="22"/>
      <c r="OGR248" s="22"/>
      <c r="OGS248" s="22"/>
      <c r="OGT248" s="22"/>
      <c r="OGU248" s="22"/>
      <c r="OGV248" s="22"/>
      <c r="OGW248" s="22"/>
      <c r="OGX248" s="22"/>
      <c r="OGY248" s="22"/>
      <c r="OGZ248" s="22"/>
      <c r="OHA248" s="22"/>
      <c r="OHB248" s="22"/>
      <c r="OHC248" s="22"/>
      <c r="OHD248" s="22"/>
      <c r="OHE248" s="22"/>
      <c r="OHF248" s="22"/>
      <c r="OHG248" s="22"/>
      <c r="OHH248" s="22"/>
      <c r="OHI248" s="22"/>
      <c r="OHJ248" s="22"/>
      <c r="OHK248" s="22"/>
      <c r="OHL248" s="22"/>
      <c r="OHM248" s="22"/>
      <c r="OHN248" s="22"/>
      <c r="OHO248" s="22"/>
      <c r="OHP248" s="22"/>
      <c r="OHQ248" s="22"/>
      <c r="OHR248" s="22"/>
      <c r="OHS248" s="22"/>
      <c r="OHT248" s="22"/>
      <c r="OHU248" s="22"/>
      <c r="OHV248" s="22"/>
      <c r="OHW248" s="22"/>
      <c r="OHX248" s="22"/>
      <c r="OHY248" s="22"/>
      <c r="OHZ248" s="22"/>
      <c r="OIA248" s="22"/>
      <c r="OIB248" s="22"/>
      <c r="OIC248" s="22"/>
      <c r="OID248" s="22"/>
      <c r="OIE248" s="22"/>
      <c r="OIF248" s="22"/>
      <c r="OIG248" s="22"/>
      <c r="OIH248" s="22"/>
      <c r="OII248" s="22"/>
      <c r="OIJ248" s="22"/>
      <c r="OIK248" s="22"/>
      <c r="OIL248" s="22"/>
      <c r="OIM248" s="22"/>
      <c r="OIN248" s="22"/>
      <c r="OIO248" s="22"/>
      <c r="OIP248" s="22"/>
      <c r="OIQ248" s="22"/>
      <c r="OIR248" s="22"/>
      <c r="OIS248" s="22"/>
      <c r="OIT248" s="22"/>
      <c r="OIU248" s="22"/>
      <c r="OIV248" s="22"/>
      <c r="OIW248" s="22"/>
      <c r="OIX248" s="22"/>
      <c r="OIY248" s="22"/>
      <c r="OIZ248" s="22"/>
      <c r="OJA248" s="22"/>
      <c r="OJB248" s="22"/>
      <c r="OJC248" s="22"/>
      <c r="OJD248" s="22"/>
      <c r="OJE248" s="22"/>
      <c r="OJF248" s="22"/>
      <c r="OJG248" s="22"/>
      <c r="OJH248" s="22"/>
      <c r="OJI248" s="22"/>
      <c r="OJJ248" s="22"/>
      <c r="OJK248" s="22"/>
      <c r="OJL248" s="22"/>
      <c r="OJM248" s="22"/>
      <c r="OJN248" s="22"/>
      <c r="OJO248" s="22"/>
      <c r="OJP248" s="22"/>
      <c r="OJQ248" s="22"/>
      <c r="OJR248" s="22"/>
      <c r="OJS248" s="22"/>
      <c r="OJT248" s="22"/>
      <c r="OJU248" s="22"/>
      <c r="OJV248" s="22"/>
      <c r="OJW248" s="22"/>
      <c r="OJX248" s="22"/>
      <c r="OJY248" s="22"/>
      <c r="OJZ248" s="22"/>
      <c r="OKA248" s="22"/>
      <c r="OKB248" s="22"/>
      <c r="OKC248" s="22"/>
      <c r="OKD248" s="22"/>
      <c r="OKE248" s="22"/>
      <c r="OKF248" s="22"/>
      <c r="OKG248" s="22"/>
      <c r="OKH248" s="22"/>
      <c r="OKI248" s="22"/>
      <c r="OKJ248" s="22"/>
      <c r="OKK248" s="22"/>
      <c r="OKL248" s="22"/>
      <c r="OKM248" s="22"/>
      <c r="OKN248" s="22"/>
      <c r="OKO248" s="22"/>
      <c r="OKP248" s="22"/>
      <c r="OKQ248" s="22"/>
      <c r="OKR248" s="22"/>
      <c r="OKS248" s="22"/>
      <c r="OKT248" s="22"/>
      <c r="OKU248" s="22"/>
      <c r="OKV248" s="22"/>
      <c r="OKW248" s="22"/>
      <c r="OKX248" s="22"/>
      <c r="OKY248" s="22"/>
      <c r="OKZ248" s="22"/>
      <c r="OLA248" s="22"/>
      <c r="OLB248" s="22"/>
      <c r="OLC248" s="22"/>
      <c r="OLD248" s="22"/>
      <c r="OLE248" s="22"/>
      <c r="OLF248" s="22"/>
      <c r="OLG248" s="22"/>
      <c r="OLH248" s="22"/>
      <c r="OLI248" s="22"/>
      <c r="OLJ248" s="22"/>
      <c r="OLK248" s="22"/>
      <c r="OLL248" s="22"/>
      <c r="OLM248" s="22"/>
      <c r="OLN248" s="22"/>
      <c r="OLO248" s="22"/>
      <c r="OLP248" s="22"/>
      <c r="OLQ248" s="22"/>
      <c r="OLR248" s="22"/>
      <c r="OLS248" s="22"/>
      <c r="OLT248" s="22"/>
      <c r="OLU248" s="22"/>
      <c r="OLV248" s="22"/>
      <c r="OLW248" s="22"/>
      <c r="OLX248" s="22"/>
      <c r="OLY248" s="22"/>
      <c r="OLZ248" s="22"/>
      <c r="OMA248" s="22"/>
      <c r="OMB248" s="22"/>
      <c r="OMC248" s="22"/>
      <c r="OMD248" s="22"/>
      <c r="OME248" s="22"/>
      <c r="OMF248" s="22"/>
      <c r="OMG248" s="22"/>
      <c r="OMH248" s="22"/>
      <c r="OMI248" s="22"/>
      <c r="OMJ248" s="22"/>
      <c r="OMK248" s="22"/>
      <c r="OML248" s="22"/>
      <c r="OMM248" s="22"/>
      <c r="OMN248" s="22"/>
      <c r="OMO248" s="22"/>
      <c r="OMP248" s="22"/>
      <c r="OMQ248" s="22"/>
      <c r="OMR248" s="22"/>
      <c r="OMS248" s="22"/>
      <c r="OMT248" s="22"/>
      <c r="OMU248" s="22"/>
      <c r="OMV248" s="22"/>
      <c r="OMW248" s="22"/>
      <c r="OMX248" s="22"/>
      <c r="OMY248" s="22"/>
      <c r="OMZ248" s="22"/>
      <c r="ONA248" s="22"/>
      <c r="ONB248" s="22"/>
      <c r="ONC248" s="22"/>
      <c r="OND248" s="22"/>
      <c r="ONE248" s="22"/>
      <c r="ONF248" s="22"/>
      <c r="ONG248" s="22"/>
      <c r="ONH248" s="22"/>
      <c r="ONI248" s="22"/>
      <c r="ONJ248" s="22"/>
      <c r="ONK248" s="22"/>
      <c r="ONL248" s="22"/>
      <c r="ONM248" s="22"/>
      <c r="ONN248" s="22"/>
      <c r="ONO248" s="22"/>
      <c r="ONP248" s="22"/>
      <c r="ONQ248" s="22"/>
      <c r="ONR248" s="22"/>
      <c r="ONS248" s="22"/>
      <c r="ONT248" s="22"/>
      <c r="ONU248" s="22"/>
      <c r="ONV248" s="22"/>
      <c r="ONW248" s="22"/>
      <c r="ONX248" s="22"/>
      <c r="ONY248" s="22"/>
      <c r="ONZ248" s="22"/>
      <c r="OOA248" s="22"/>
      <c r="OOB248" s="22"/>
      <c r="OOC248" s="22"/>
      <c r="OOD248" s="22"/>
      <c r="OOE248" s="22"/>
      <c r="OOF248" s="22"/>
      <c r="OOG248" s="22"/>
      <c r="OOH248" s="22"/>
      <c r="OOI248" s="22"/>
      <c r="OOJ248" s="22"/>
      <c r="OOK248" s="22"/>
      <c r="OOL248" s="22"/>
      <c r="OOM248" s="22"/>
      <c r="OON248" s="22"/>
      <c r="OOO248" s="22"/>
      <c r="OOP248" s="22"/>
      <c r="OOQ248" s="22"/>
      <c r="OOR248" s="22"/>
      <c r="OOS248" s="22"/>
      <c r="OOT248" s="22"/>
      <c r="OOU248" s="22"/>
      <c r="OOV248" s="22"/>
      <c r="OOW248" s="22"/>
      <c r="OOX248" s="22"/>
      <c r="OOY248" s="22"/>
      <c r="OOZ248" s="22"/>
      <c r="OPA248" s="22"/>
      <c r="OPB248" s="22"/>
      <c r="OPC248" s="22"/>
      <c r="OPD248" s="22"/>
      <c r="OPE248" s="22"/>
      <c r="OPF248" s="22"/>
      <c r="OPG248" s="22"/>
      <c r="OPH248" s="22"/>
      <c r="OPI248" s="22"/>
      <c r="OPJ248" s="22"/>
      <c r="OPK248" s="22"/>
      <c r="OPL248" s="22"/>
      <c r="OPM248" s="22"/>
      <c r="OPN248" s="22"/>
      <c r="OPO248" s="22"/>
      <c r="OPP248" s="22"/>
      <c r="OPQ248" s="22"/>
      <c r="OPR248" s="22"/>
      <c r="OPS248" s="22"/>
      <c r="OPT248" s="22"/>
      <c r="OPU248" s="22"/>
      <c r="OPV248" s="22"/>
      <c r="OPW248" s="22"/>
      <c r="OPX248" s="22"/>
      <c r="OPY248" s="22"/>
      <c r="OPZ248" s="22"/>
      <c r="OQA248" s="22"/>
      <c r="OQB248" s="22"/>
      <c r="OQC248" s="22"/>
      <c r="OQD248" s="22"/>
      <c r="OQE248" s="22"/>
      <c r="OQF248" s="22"/>
      <c r="OQG248" s="22"/>
      <c r="OQH248" s="22"/>
      <c r="OQI248" s="22"/>
      <c r="OQJ248" s="22"/>
      <c r="OQK248" s="22"/>
      <c r="OQL248" s="22"/>
      <c r="OQM248" s="22"/>
      <c r="OQN248" s="22"/>
      <c r="OQO248" s="22"/>
      <c r="OQP248" s="22"/>
      <c r="OQQ248" s="22"/>
      <c r="OQR248" s="22"/>
      <c r="OQS248" s="22"/>
      <c r="OQT248" s="22"/>
      <c r="OQU248" s="22"/>
      <c r="OQV248" s="22"/>
      <c r="OQW248" s="22"/>
      <c r="OQX248" s="22"/>
      <c r="OQY248" s="22"/>
      <c r="OQZ248" s="22"/>
      <c r="ORA248" s="22"/>
      <c r="ORB248" s="22"/>
      <c r="ORC248" s="22"/>
      <c r="ORD248" s="22"/>
      <c r="ORE248" s="22"/>
      <c r="ORF248" s="22"/>
      <c r="ORG248" s="22"/>
      <c r="ORH248" s="22"/>
      <c r="ORI248" s="22"/>
      <c r="ORJ248" s="22"/>
      <c r="ORK248" s="22"/>
      <c r="ORL248" s="22"/>
      <c r="ORM248" s="22"/>
      <c r="ORN248" s="22"/>
      <c r="ORO248" s="22"/>
      <c r="ORP248" s="22"/>
      <c r="ORQ248" s="22"/>
      <c r="ORR248" s="22"/>
      <c r="ORS248" s="22"/>
      <c r="ORT248" s="22"/>
      <c r="ORU248" s="22"/>
      <c r="ORV248" s="22"/>
      <c r="ORW248" s="22"/>
      <c r="ORX248" s="22"/>
      <c r="ORY248" s="22"/>
      <c r="ORZ248" s="22"/>
      <c r="OSA248" s="22"/>
      <c r="OSB248" s="22"/>
      <c r="OSC248" s="22"/>
      <c r="OSD248" s="22"/>
      <c r="OSE248" s="22"/>
      <c r="OSF248" s="22"/>
      <c r="OSG248" s="22"/>
      <c r="OSH248" s="22"/>
      <c r="OSI248" s="22"/>
      <c r="OSJ248" s="22"/>
      <c r="OSK248" s="22"/>
      <c r="OSL248" s="22"/>
      <c r="OSM248" s="22"/>
      <c r="OSN248" s="22"/>
      <c r="OSO248" s="22"/>
      <c r="OSP248" s="22"/>
      <c r="OSQ248" s="22"/>
      <c r="OSR248" s="22"/>
      <c r="OSS248" s="22"/>
      <c r="OST248" s="22"/>
      <c r="OSU248" s="22"/>
      <c r="OSV248" s="22"/>
      <c r="OSW248" s="22"/>
      <c r="OSX248" s="22"/>
      <c r="OSY248" s="22"/>
      <c r="OSZ248" s="22"/>
      <c r="OTA248" s="22"/>
      <c r="OTB248" s="22"/>
      <c r="OTC248" s="22"/>
      <c r="OTD248" s="22"/>
      <c r="OTE248" s="22"/>
      <c r="OTF248" s="22"/>
      <c r="OTG248" s="22"/>
      <c r="OTH248" s="22"/>
      <c r="OTI248" s="22"/>
      <c r="OTJ248" s="22"/>
      <c r="OTK248" s="22"/>
      <c r="OTL248" s="22"/>
      <c r="OTM248" s="22"/>
      <c r="OTN248" s="22"/>
      <c r="OTO248" s="22"/>
      <c r="OTP248" s="22"/>
      <c r="OTQ248" s="22"/>
      <c r="OTR248" s="22"/>
      <c r="OTS248" s="22"/>
      <c r="OTT248" s="22"/>
      <c r="OTU248" s="22"/>
      <c r="OTV248" s="22"/>
      <c r="OTW248" s="22"/>
      <c r="OTX248" s="22"/>
      <c r="OTY248" s="22"/>
      <c r="OTZ248" s="22"/>
      <c r="OUA248" s="22"/>
      <c r="OUB248" s="22"/>
      <c r="OUC248" s="22"/>
      <c r="OUD248" s="22"/>
      <c r="OUE248" s="22"/>
      <c r="OUF248" s="22"/>
      <c r="OUG248" s="22"/>
      <c r="OUH248" s="22"/>
      <c r="OUI248" s="22"/>
      <c r="OUJ248" s="22"/>
      <c r="OUK248" s="22"/>
      <c r="OUL248" s="22"/>
      <c r="OUM248" s="22"/>
      <c r="OUN248" s="22"/>
      <c r="OUO248" s="22"/>
      <c r="OUP248" s="22"/>
      <c r="OUQ248" s="22"/>
      <c r="OUR248" s="22"/>
      <c r="OUS248" s="22"/>
      <c r="OUT248" s="22"/>
      <c r="OUU248" s="22"/>
      <c r="OUV248" s="22"/>
      <c r="OUW248" s="22"/>
      <c r="OUX248" s="22"/>
      <c r="OUY248" s="22"/>
      <c r="OUZ248" s="22"/>
      <c r="OVA248" s="22"/>
      <c r="OVB248" s="22"/>
      <c r="OVC248" s="22"/>
      <c r="OVD248" s="22"/>
      <c r="OVE248" s="22"/>
      <c r="OVF248" s="22"/>
      <c r="OVG248" s="22"/>
      <c r="OVH248" s="22"/>
      <c r="OVI248" s="22"/>
      <c r="OVJ248" s="22"/>
      <c r="OVK248" s="22"/>
      <c r="OVL248" s="22"/>
      <c r="OVM248" s="22"/>
      <c r="OVN248" s="22"/>
      <c r="OVO248" s="22"/>
      <c r="OVP248" s="22"/>
      <c r="OVQ248" s="22"/>
      <c r="OVR248" s="22"/>
      <c r="OVS248" s="22"/>
      <c r="OVT248" s="22"/>
      <c r="OVU248" s="22"/>
      <c r="OVV248" s="22"/>
      <c r="OVW248" s="22"/>
      <c r="OVX248" s="22"/>
      <c r="OVY248" s="22"/>
      <c r="OVZ248" s="22"/>
      <c r="OWA248" s="22"/>
      <c r="OWB248" s="22"/>
      <c r="OWC248" s="22"/>
      <c r="OWD248" s="22"/>
      <c r="OWE248" s="22"/>
      <c r="OWF248" s="22"/>
      <c r="OWG248" s="22"/>
      <c r="OWH248" s="22"/>
      <c r="OWI248" s="22"/>
      <c r="OWJ248" s="22"/>
      <c r="OWK248" s="22"/>
      <c r="OWL248" s="22"/>
      <c r="OWM248" s="22"/>
      <c r="OWN248" s="22"/>
      <c r="OWO248" s="22"/>
      <c r="OWP248" s="22"/>
      <c r="OWQ248" s="22"/>
      <c r="OWR248" s="22"/>
      <c r="OWS248" s="22"/>
      <c r="OWT248" s="22"/>
      <c r="OWU248" s="22"/>
      <c r="OWV248" s="22"/>
      <c r="OWW248" s="22"/>
      <c r="OWX248" s="22"/>
      <c r="OWY248" s="22"/>
      <c r="OWZ248" s="22"/>
      <c r="OXA248" s="22"/>
      <c r="OXB248" s="22"/>
      <c r="OXC248" s="22"/>
      <c r="OXD248" s="22"/>
      <c r="OXE248" s="22"/>
      <c r="OXF248" s="22"/>
      <c r="OXG248" s="22"/>
      <c r="OXH248" s="22"/>
      <c r="OXI248" s="22"/>
      <c r="OXJ248" s="22"/>
      <c r="OXK248" s="22"/>
      <c r="OXL248" s="22"/>
      <c r="OXM248" s="22"/>
      <c r="OXN248" s="22"/>
      <c r="OXO248" s="22"/>
      <c r="OXP248" s="22"/>
      <c r="OXQ248" s="22"/>
      <c r="OXR248" s="22"/>
      <c r="OXS248" s="22"/>
      <c r="OXT248" s="22"/>
      <c r="OXU248" s="22"/>
      <c r="OXV248" s="22"/>
      <c r="OXW248" s="22"/>
      <c r="OXX248" s="22"/>
      <c r="OXY248" s="22"/>
      <c r="OXZ248" s="22"/>
      <c r="OYA248" s="22"/>
      <c r="OYB248" s="22"/>
      <c r="OYC248" s="22"/>
      <c r="OYD248" s="22"/>
      <c r="OYE248" s="22"/>
      <c r="OYF248" s="22"/>
      <c r="OYG248" s="22"/>
      <c r="OYH248" s="22"/>
      <c r="OYI248" s="22"/>
      <c r="OYJ248" s="22"/>
      <c r="OYK248" s="22"/>
      <c r="OYL248" s="22"/>
      <c r="OYM248" s="22"/>
      <c r="OYN248" s="22"/>
      <c r="OYO248" s="22"/>
      <c r="OYP248" s="22"/>
      <c r="OYQ248" s="22"/>
      <c r="OYR248" s="22"/>
      <c r="OYS248" s="22"/>
      <c r="OYT248" s="22"/>
      <c r="OYU248" s="22"/>
      <c r="OYV248" s="22"/>
      <c r="OYW248" s="22"/>
      <c r="OYX248" s="22"/>
      <c r="OYY248" s="22"/>
      <c r="OYZ248" s="22"/>
      <c r="OZA248" s="22"/>
      <c r="OZB248" s="22"/>
      <c r="OZC248" s="22"/>
      <c r="OZD248" s="22"/>
      <c r="OZE248" s="22"/>
      <c r="OZF248" s="22"/>
      <c r="OZG248" s="22"/>
      <c r="OZH248" s="22"/>
      <c r="OZI248" s="22"/>
      <c r="OZJ248" s="22"/>
      <c r="OZK248" s="22"/>
      <c r="OZL248" s="22"/>
      <c r="OZM248" s="22"/>
      <c r="OZN248" s="22"/>
      <c r="OZO248" s="22"/>
      <c r="OZP248" s="22"/>
      <c r="OZQ248" s="22"/>
      <c r="OZR248" s="22"/>
      <c r="OZS248" s="22"/>
      <c r="OZT248" s="22"/>
      <c r="OZU248" s="22"/>
      <c r="OZV248" s="22"/>
      <c r="OZW248" s="22"/>
      <c r="OZX248" s="22"/>
      <c r="OZY248" s="22"/>
      <c r="OZZ248" s="22"/>
      <c r="PAA248" s="22"/>
      <c r="PAB248" s="22"/>
      <c r="PAC248" s="22"/>
      <c r="PAD248" s="22"/>
      <c r="PAE248" s="22"/>
      <c r="PAF248" s="22"/>
      <c r="PAG248" s="22"/>
      <c r="PAH248" s="22"/>
      <c r="PAI248" s="22"/>
      <c r="PAJ248" s="22"/>
      <c r="PAK248" s="22"/>
      <c r="PAL248" s="22"/>
      <c r="PAM248" s="22"/>
      <c r="PAN248" s="22"/>
      <c r="PAO248" s="22"/>
      <c r="PAP248" s="22"/>
      <c r="PAQ248" s="22"/>
      <c r="PAR248" s="22"/>
      <c r="PAS248" s="22"/>
      <c r="PAT248" s="22"/>
      <c r="PAU248" s="22"/>
      <c r="PAV248" s="22"/>
      <c r="PAW248" s="22"/>
      <c r="PAX248" s="22"/>
      <c r="PAY248" s="22"/>
      <c r="PAZ248" s="22"/>
      <c r="PBA248" s="22"/>
      <c r="PBB248" s="22"/>
      <c r="PBC248" s="22"/>
      <c r="PBD248" s="22"/>
      <c r="PBE248" s="22"/>
      <c r="PBF248" s="22"/>
      <c r="PBG248" s="22"/>
      <c r="PBH248" s="22"/>
      <c r="PBI248" s="22"/>
      <c r="PBJ248" s="22"/>
      <c r="PBK248" s="22"/>
      <c r="PBL248" s="22"/>
      <c r="PBM248" s="22"/>
      <c r="PBN248" s="22"/>
      <c r="PBO248" s="22"/>
      <c r="PBP248" s="22"/>
      <c r="PBQ248" s="22"/>
      <c r="PBR248" s="22"/>
      <c r="PBS248" s="22"/>
      <c r="PBT248" s="22"/>
      <c r="PBU248" s="22"/>
      <c r="PBV248" s="22"/>
      <c r="PBW248" s="22"/>
      <c r="PBX248" s="22"/>
      <c r="PBY248" s="22"/>
      <c r="PBZ248" s="22"/>
      <c r="PCA248" s="22"/>
      <c r="PCB248" s="22"/>
      <c r="PCC248" s="22"/>
      <c r="PCD248" s="22"/>
      <c r="PCE248" s="22"/>
      <c r="PCF248" s="22"/>
      <c r="PCG248" s="22"/>
      <c r="PCH248" s="22"/>
      <c r="PCI248" s="22"/>
      <c r="PCJ248" s="22"/>
      <c r="PCK248" s="22"/>
      <c r="PCL248" s="22"/>
      <c r="PCM248" s="22"/>
      <c r="PCN248" s="22"/>
      <c r="PCO248" s="22"/>
      <c r="PCP248" s="22"/>
      <c r="PCQ248" s="22"/>
      <c r="PCR248" s="22"/>
      <c r="PCS248" s="22"/>
      <c r="PCT248" s="22"/>
      <c r="PCU248" s="22"/>
      <c r="PCV248" s="22"/>
      <c r="PCW248" s="22"/>
      <c r="PCX248" s="22"/>
      <c r="PCY248" s="22"/>
      <c r="PCZ248" s="22"/>
      <c r="PDA248" s="22"/>
      <c r="PDB248" s="22"/>
      <c r="PDC248" s="22"/>
      <c r="PDD248" s="22"/>
      <c r="PDE248" s="22"/>
      <c r="PDF248" s="22"/>
      <c r="PDG248" s="22"/>
      <c r="PDH248" s="22"/>
      <c r="PDI248" s="22"/>
      <c r="PDJ248" s="22"/>
      <c r="PDK248" s="22"/>
      <c r="PDL248" s="22"/>
      <c r="PDM248" s="22"/>
      <c r="PDN248" s="22"/>
      <c r="PDO248" s="22"/>
      <c r="PDP248" s="22"/>
      <c r="PDQ248" s="22"/>
      <c r="PDR248" s="22"/>
      <c r="PDS248" s="22"/>
      <c r="PDT248" s="22"/>
      <c r="PDU248" s="22"/>
      <c r="PDV248" s="22"/>
      <c r="PDW248" s="22"/>
      <c r="PDX248" s="22"/>
      <c r="PDY248" s="22"/>
      <c r="PDZ248" s="22"/>
      <c r="PEA248" s="22"/>
      <c r="PEB248" s="22"/>
      <c r="PEC248" s="22"/>
      <c r="PED248" s="22"/>
      <c r="PEE248" s="22"/>
      <c r="PEF248" s="22"/>
      <c r="PEG248" s="22"/>
      <c r="PEH248" s="22"/>
      <c r="PEI248" s="22"/>
      <c r="PEJ248" s="22"/>
      <c r="PEK248" s="22"/>
      <c r="PEL248" s="22"/>
      <c r="PEM248" s="22"/>
      <c r="PEN248" s="22"/>
      <c r="PEO248" s="22"/>
      <c r="PEP248" s="22"/>
      <c r="PEQ248" s="22"/>
      <c r="PER248" s="22"/>
      <c r="PES248" s="22"/>
      <c r="PET248" s="22"/>
      <c r="PEU248" s="22"/>
      <c r="PEV248" s="22"/>
      <c r="PEW248" s="22"/>
      <c r="PEX248" s="22"/>
      <c r="PEY248" s="22"/>
      <c r="PEZ248" s="22"/>
      <c r="PFA248" s="22"/>
      <c r="PFB248" s="22"/>
      <c r="PFC248" s="22"/>
      <c r="PFD248" s="22"/>
      <c r="PFE248" s="22"/>
      <c r="PFF248" s="22"/>
      <c r="PFG248" s="22"/>
      <c r="PFH248" s="22"/>
      <c r="PFI248" s="22"/>
      <c r="PFJ248" s="22"/>
      <c r="PFK248" s="22"/>
      <c r="PFL248" s="22"/>
      <c r="PFM248" s="22"/>
      <c r="PFN248" s="22"/>
      <c r="PFO248" s="22"/>
      <c r="PFP248" s="22"/>
      <c r="PFQ248" s="22"/>
      <c r="PFR248" s="22"/>
      <c r="PFS248" s="22"/>
      <c r="PFT248" s="22"/>
      <c r="PFU248" s="22"/>
      <c r="PFV248" s="22"/>
      <c r="PFW248" s="22"/>
      <c r="PFX248" s="22"/>
      <c r="PFY248" s="22"/>
      <c r="PFZ248" s="22"/>
      <c r="PGA248" s="22"/>
      <c r="PGB248" s="22"/>
      <c r="PGC248" s="22"/>
      <c r="PGD248" s="22"/>
      <c r="PGE248" s="22"/>
      <c r="PGF248" s="22"/>
      <c r="PGG248" s="22"/>
      <c r="PGH248" s="22"/>
      <c r="PGI248" s="22"/>
      <c r="PGJ248" s="22"/>
      <c r="PGK248" s="22"/>
      <c r="PGL248" s="22"/>
      <c r="PGM248" s="22"/>
      <c r="PGN248" s="22"/>
      <c r="PGO248" s="22"/>
      <c r="PGP248" s="22"/>
      <c r="PGQ248" s="22"/>
      <c r="PGR248" s="22"/>
      <c r="PGS248" s="22"/>
      <c r="PGT248" s="22"/>
      <c r="PGU248" s="22"/>
      <c r="PGV248" s="22"/>
      <c r="PGW248" s="22"/>
      <c r="PGX248" s="22"/>
      <c r="PGY248" s="22"/>
      <c r="PGZ248" s="22"/>
      <c r="PHA248" s="22"/>
      <c r="PHB248" s="22"/>
      <c r="PHC248" s="22"/>
      <c r="PHD248" s="22"/>
      <c r="PHE248" s="22"/>
      <c r="PHF248" s="22"/>
      <c r="PHG248" s="22"/>
      <c r="PHH248" s="22"/>
      <c r="PHI248" s="22"/>
      <c r="PHJ248" s="22"/>
      <c r="PHK248" s="22"/>
      <c r="PHL248" s="22"/>
      <c r="PHM248" s="22"/>
      <c r="PHN248" s="22"/>
      <c r="PHO248" s="22"/>
      <c r="PHP248" s="22"/>
      <c r="PHQ248" s="22"/>
      <c r="PHR248" s="22"/>
      <c r="PHS248" s="22"/>
      <c r="PHT248" s="22"/>
      <c r="PHU248" s="22"/>
      <c r="PHV248" s="22"/>
      <c r="PHW248" s="22"/>
      <c r="PHX248" s="22"/>
      <c r="PHY248" s="22"/>
      <c r="PHZ248" s="22"/>
      <c r="PIA248" s="22"/>
      <c r="PIB248" s="22"/>
      <c r="PIC248" s="22"/>
      <c r="PID248" s="22"/>
      <c r="PIE248" s="22"/>
      <c r="PIF248" s="22"/>
      <c r="PIG248" s="22"/>
      <c r="PIH248" s="22"/>
      <c r="PII248" s="22"/>
      <c r="PIJ248" s="22"/>
      <c r="PIK248" s="22"/>
      <c r="PIL248" s="22"/>
      <c r="PIM248" s="22"/>
      <c r="PIN248" s="22"/>
      <c r="PIO248" s="22"/>
      <c r="PIP248" s="22"/>
      <c r="PIQ248" s="22"/>
      <c r="PIR248" s="22"/>
      <c r="PIS248" s="22"/>
      <c r="PIT248" s="22"/>
      <c r="PIU248" s="22"/>
      <c r="PIV248" s="22"/>
      <c r="PIW248" s="22"/>
      <c r="PIX248" s="22"/>
      <c r="PIY248" s="22"/>
      <c r="PIZ248" s="22"/>
      <c r="PJA248" s="22"/>
      <c r="PJB248" s="22"/>
      <c r="PJC248" s="22"/>
      <c r="PJD248" s="22"/>
      <c r="PJE248" s="22"/>
      <c r="PJF248" s="22"/>
      <c r="PJG248" s="22"/>
      <c r="PJH248" s="22"/>
      <c r="PJI248" s="22"/>
      <c r="PJJ248" s="22"/>
      <c r="PJK248" s="22"/>
      <c r="PJL248" s="22"/>
      <c r="PJM248" s="22"/>
      <c r="PJN248" s="22"/>
      <c r="PJO248" s="22"/>
      <c r="PJP248" s="22"/>
      <c r="PJQ248" s="22"/>
      <c r="PJR248" s="22"/>
      <c r="PJS248" s="22"/>
      <c r="PJT248" s="22"/>
      <c r="PJU248" s="22"/>
      <c r="PJV248" s="22"/>
      <c r="PJW248" s="22"/>
      <c r="PJX248" s="22"/>
      <c r="PJY248" s="22"/>
      <c r="PJZ248" s="22"/>
      <c r="PKA248" s="22"/>
      <c r="PKB248" s="22"/>
      <c r="PKC248" s="22"/>
      <c r="PKD248" s="22"/>
      <c r="PKE248" s="22"/>
      <c r="PKF248" s="22"/>
      <c r="PKG248" s="22"/>
      <c r="PKH248" s="22"/>
      <c r="PKI248" s="22"/>
      <c r="PKJ248" s="22"/>
      <c r="PKK248" s="22"/>
      <c r="PKL248" s="22"/>
      <c r="PKM248" s="22"/>
      <c r="PKN248" s="22"/>
      <c r="PKO248" s="22"/>
      <c r="PKP248" s="22"/>
      <c r="PKQ248" s="22"/>
      <c r="PKR248" s="22"/>
      <c r="PKS248" s="22"/>
      <c r="PKT248" s="22"/>
      <c r="PKU248" s="22"/>
      <c r="PKV248" s="22"/>
      <c r="PKW248" s="22"/>
      <c r="PKX248" s="22"/>
      <c r="PKY248" s="22"/>
      <c r="PKZ248" s="22"/>
      <c r="PLA248" s="22"/>
      <c r="PLB248" s="22"/>
      <c r="PLC248" s="22"/>
      <c r="PLD248" s="22"/>
      <c r="PLE248" s="22"/>
      <c r="PLF248" s="22"/>
      <c r="PLG248" s="22"/>
      <c r="PLH248" s="22"/>
      <c r="PLI248" s="22"/>
      <c r="PLJ248" s="22"/>
      <c r="PLK248" s="22"/>
      <c r="PLL248" s="22"/>
      <c r="PLM248" s="22"/>
      <c r="PLN248" s="22"/>
      <c r="PLO248" s="22"/>
      <c r="PLP248" s="22"/>
      <c r="PLQ248" s="22"/>
      <c r="PLR248" s="22"/>
      <c r="PLS248" s="22"/>
      <c r="PLT248" s="22"/>
      <c r="PLU248" s="22"/>
      <c r="PLV248" s="22"/>
      <c r="PLW248" s="22"/>
      <c r="PLX248" s="22"/>
      <c r="PLY248" s="22"/>
      <c r="PLZ248" s="22"/>
      <c r="PMA248" s="22"/>
      <c r="PMB248" s="22"/>
      <c r="PMC248" s="22"/>
      <c r="PMD248" s="22"/>
      <c r="PME248" s="22"/>
      <c r="PMF248" s="22"/>
      <c r="PMG248" s="22"/>
      <c r="PMH248" s="22"/>
      <c r="PMI248" s="22"/>
      <c r="PMJ248" s="22"/>
      <c r="PMK248" s="22"/>
      <c r="PML248" s="22"/>
      <c r="PMM248" s="22"/>
      <c r="PMN248" s="22"/>
      <c r="PMO248" s="22"/>
      <c r="PMP248" s="22"/>
      <c r="PMQ248" s="22"/>
      <c r="PMR248" s="22"/>
      <c r="PMS248" s="22"/>
      <c r="PMT248" s="22"/>
      <c r="PMU248" s="22"/>
      <c r="PMV248" s="22"/>
      <c r="PMW248" s="22"/>
      <c r="PMX248" s="22"/>
      <c r="PMY248" s="22"/>
      <c r="PMZ248" s="22"/>
      <c r="PNA248" s="22"/>
      <c r="PNB248" s="22"/>
      <c r="PNC248" s="22"/>
      <c r="PND248" s="22"/>
      <c r="PNE248" s="22"/>
      <c r="PNF248" s="22"/>
      <c r="PNG248" s="22"/>
      <c r="PNH248" s="22"/>
      <c r="PNI248" s="22"/>
      <c r="PNJ248" s="22"/>
      <c r="PNK248" s="22"/>
      <c r="PNL248" s="22"/>
      <c r="PNM248" s="22"/>
      <c r="PNN248" s="22"/>
      <c r="PNO248" s="22"/>
      <c r="PNP248" s="22"/>
      <c r="PNQ248" s="22"/>
      <c r="PNR248" s="22"/>
      <c r="PNS248" s="22"/>
      <c r="PNT248" s="22"/>
      <c r="PNU248" s="22"/>
      <c r="PNV248" s="22"/>
      <c r="PNW248" s="22"/>
      <c r="PNX248" s="22"/>
      <c r="PNY248" s="22"/>
      <c r="PNZ248" s="22"/>
      <c r="POA248" s="22"/>
      <c r="POB248" s="22"/>
      <c r="POC248" s="22"/>
      <c r="POD248" s="22"/>
      <c r="POE248" s="22"/>
      <c r="POF248" s="22"/>
      <c r="POG248" s="22"/>
      <c r="POH248" s="22"/>
      <c r="POI248" s="22"/>
      <c r="POJ248" s="22"/>
      <c r="POK248" s="22"/>
      <c r="POL248" s="22"/>
      <c r="POM248" s="22"/>
      <c r="PON248" s="22"/>
      <c r="POO248" s="22"/>
      <c r="POP248" s="22"/>
      <c r="POQ248" s="22"/>
      <c r="POR248" s="22"/>
      <c r="POS248" s="22"/>
      <c r="POT248" s="22"/>
      <c r="POU248" s="22"/>
      <c r="POV248" s="22"/>
      <c r="POW248" s="22"/>
      <c r="POX248" s="22"/>
      <c r="POY248" s="22"/>
      <c r="POZ248" s="22"/>
      <c r="PPA248" s="22"/>
      <c r="PPB248" s="22"/>
      <c r="PPC248" s="22"/>
      <c r="PPD248" s="22"/>
      <c r="PPE248" s="22"/>
      <c r="PPF248" s="22"/>
      <c r="PPG248" s="22"/>
      <c r="PPH248" s="22"/>
      <c r="PPI248" s="22"/>
      <c r="PPJ248" s="22"/>
      <c r="PPK248" s="22"/>
      <c r="PPL248" s="22"/>
      <c r="PPM248" s="22"/>
      <c r="PPN248" s="22"/>
      <c r="PPO248" s="22"/>
      <c r="PPP248" s="22"/>
      <c r="PPQ248" s="22"/>
      <c r="PPR248" s="22"/>
      <c r="PPS248" s="22"/>
      <c r="PPT248" s="22"/>
      <c r="PPU248" s="22"/>
      <c r="PPV248" s="22"/>
      <c r="PPW248" s="22"/>
      <c r="PPX248" s="22"/>
      <c r="PPY248" s="22"/>
      <c r="PPZ248" s="22"/>
      <c r="PQA248" s="22"/>
      <c r="PQB248" s="22"/>
      <c r="PQC248" s="22"/>
      <c r="PQD248" s="22"/>
      <c r="PQE248" s="22"/>
      <c r="PQF248" s="22"/>
      <c r="PQG248" s="22"/>
      <c r="PQH248" s="22"/>
      <c r="PQI248" s="22"/>
      <c r="PQJ248" s="22"/>
      <c r="PQK248" s="22"/>
      <c r="PQL248" s="22"/>
      <c r="PQM248" s="22"/>
      <c r="PQN248" s="22"/>
      <c r="PQO248" s="22"/>
      <c r="PQP248" s="22"/>
      <c r="PQQ248" s="22"/>
      <c r="PQR248" s="22"/>
      <c r="PQS248" s="22"/>
      <c r="PQT248" s="22"/>
      <c r="PQU248" s="22"/>
      <c r="PQV248" s="22"/>
      <c r="PQW248" s="22"/>
      <c r="PQX248" s="22"/>
      <c r="PQY248" s="22"/>
      <c r="PQZ248" s="22"/>
      <c r="PRA248" s="22"/>
      <c r="PRB248" s="22"/>
      <c r="PRC248" s="22"/>
      <c r="PRD248" s="22"/>
      <c r="PRE248" s="22"/>
      <c r="PRF248" s="22"/>
      <c r="PRG248" s="22"/>
      <c r="PRH248" s="22"/>
      <c r="PRI248" s="22"/>
      <c r="PRJ248" s="22"/>
      <c r="PRK248" s="22"/>
      <c r="PRL248" s="22"/>
      <c r="PRM248" s="22"/>
      <c r="PRN248" s="22"/>
      <c r="PRO248" s="22"/>
      <c r="PRP248" s="22"/>
      <c r="PRQ248" s="22"/>
      <c r="PRR248" s="22"/>
      <c r="PRS248" s="22"/>
      <c r="PRT248" s="22"/>
      <c r="PRU248" s="22"/>
      <c r="PRV248" s="22"/>
      <c r="PRW248" s="22"/>
      <c r="PRX248" s="22"/>
      <c r="PRY248" s="22"/>
      <c r="PRZ248" s="22"/>
      <c r="PSA248" s="22"/>
      <c r="PSB248" s="22"/>
      <c r="PSC248" s="22"/>
      <c r="PSD248" s="22"/>
      <c r="PSE248" s="22"/>
      <c r="PSF248" s="22"/>
      <c r="PSG248" s="22"/>
      <c r="PSH248" s="22"/>
      <c r="PSI248" s="22"/>
      <c r="PSJ248" s="22"/>
      <c r="PSK248" s="22"/>
      <c r="PSL248" s="22"/>
      <c r="PSM248" s="22"/>
      <c r="PSN248" s="22"/>
      <c r="PSO248" s="22"/>
      <c r="PSP248" s="22"/>
      <c r="PSQ248" s="22"/>
      <c r="PSR248" s="22"/>
      <c r="PSS248" s="22"/>
      <c r="PST248" s="22"/>
      <c r="PSU248" s="22"/>
      <c r="PSV248" s="22"/>
      <c r="PSW248" s="22"/>
      <c r="PSX248" s="22"/>
      <c r="PSY248" s="22"/>
      <c r="PSZ248" s="22"/>
      <c r="PTA248" s="22"/>
      <c r="PTB248" s="22"/>
      <c r="PTC248" s="22"/>
      <c r="PTD248" s="22"/>
      <c r="PTE248" s="22"/>
      <c r="PTF248" s="22"/>
      <c r="PTG248" s="22"/>
      <c r="PTH248" s="22"/>
      <c r="PTI248" s="22"/>
      <c r="PTJ248" s="22"/>
      <c r="PTK248" s="22"/>
      <c r="PTL248" s="22"/>
      <c r="PTM248" s="22"/>
      <c r="PTN248" s="22"/>
      <c r="PTO248" s="22"/>
      <c r="PTP248" s="22"/>
      <c r="PTQ248" s="22"/>
      <c r="PTR248" s="22"/>
      <c r="PTS248" s="22"/>
      <c r="PTT248" s="22"/>
      <c r="PTU248" s="22"/>
      <c r="PTV248" s="22"/>
      <c r="PTW248" s="22"/>
      <c r="PTX248" s="22"/>
      <c r="PTY248" s="22"/>
      <c r="PTZ248" s="22"/>
      <c r="PUA248" s="22"/>
      <c r="PUB248" s="22"/>
      <c r="PUC248" s="22"/>
      <c r="PUD248" s="22"/>
      <c r="PUE248" s="22"/>
      <c r="PUF248" s="22"/>
      <c r="PUG248" s="22"/>
      <c r="PUH248" s="22"/>
      <c r="PUI248" s="22"/>
      <c r="PUJ248" s="22"/>
      <c r="PUK248" s="22"/>
      <c r="PUL248" s="22"/>
      <c r="PUM248" s="22"/>
      <c r="PUN248" s="22"/>
      <c r="PUO248" s="22"/>
      <c r="PUP248" s="22"/>
      <c r="PUQ248" s="22"/>
      <c r="PUR248" s="22"/>
      <c r="PUS248" s="22"/>
      <c r="PUT248" s="22"/>
      <c r="PUU248" s="22"/>
      <c r="PUV248" s="22"/>
      <c r="PUW248" s="22"/>
      <c r="PUX248" s="22"/>
      <c r="PUY248" s="22"/>
      <c r="PUZ248" s="22"/>
      <c r="PVA248" s="22"/>
      <c r="PVB248" s="22"/>
      <c r="PVC248" s="22"/>
      <c r="PVD248" s="22"/>
      <c r="PVE248" s="22"/>
      <c r="PVF248" s="22"/>
      <c r="PVG248" s="22"/>
      <c r="PVH248" s="22"/>
      <c r="PVI248" s="22"/>
      <c r="PVJ248" s="22"/>
      <c r="PVK248" s="22"/>
      <c r="PVL248" s="22"/>
      <c r="PVM248" s="22"/>
      <c r="PVN248" s="22"/>
      <c r="PVO248" s="22"/>
      <c r="PVP248" s="22"/>
      <c r="PVQ248" s="22"/>
      <c r="PVR248" s="22"/>
      <c r="PVS248" s="22"/>
      <c r="PVT248" s="22"/>
      <c r="PVU248" s="22"/>
      <c r="PVV248" s="22"/>
      <c r="PVW248" s="22"/>
      <c r="PVX248" s="22"/>
      <c r="PVY248" s="22"/>
      <c r="PVZ248" s="22"/>
      <c r="PWA248" s="22"/>
      <c r="PWB248" s="22"/>
      <c r="PWC248" s="22"/>
      <c r="PWD248" s="22"/>
      <c r="PWE248" s="22"/>
      <c r="PWF248" s="22"/>
      <c r="PWG248" s="22"/>
      <c r="PWH248" s="22"/>
      <c r="PWI248" s="22"/>
      <c r="PWJ248" s="22"/>
      <c r="PWK248" s="22"/>
      <c r="PWL248" s="22"/>
      <c r="PWM248" s="22"/>
      <c r="PWN248" s="22"/>
      <c r="PWO248" s="22"/>
      <c r="PWP248" s="22"/>
      <c r="PWQ248" s="22"/>
      <c r="PWR248" s="22"/>
      <c r="PWS248" s="22"/>
      <c r="PWT248" s="22"/>
      <c r="PWU248" s="22"/>
      <c r="PWV248" s="22"/>
      <c r="PWW248" s="22"/>
      <c r="PWX248" s="22"/>
      <c r="PWY248" s="22"/>
      <c r="PWZ248" s="22"/>
      <c r="PXA248" s="22"/>
      <c r="PXB248" s="22"/>
      <c r="PXC248" s="22"/>
      <c r="PXD248" s="22"/>
      <c r="PXE248" s="22"/>
      <c r="PXF248" s="22"/>
      <c r="PXG248" s="22"/>
      <c r="PXH248" s="22"/>
      <c r="PXI248" s="22"/>
      <c r="PXJ248" s="22"/>
      <c r="PXK248" s="22"/>
      <c r="PXL248" s="22"/>
      <c r="PXM248" s="22"/>
      <c r="PXN248" s="22"/>
      <c r="PXO248" s="22"/>
      <c r="PXP248" s="22"/>
      <c r="PXQ248" s="22"/>
      <c r="PXR248" s="22"/>
      <c r="PXS248" s="22"/>
      <c r="PXT248" s="22"/>
      <c r="PXU248" s="22"/>
      <c r="PXV248" s="22"/>
      <c r="PXW248" s="22"/>
      <c r="PXX248" s="22"/>
      <c r="PXY248" s="22"/>
      <c r="PXZ248" s="22"/>
      <c r="PYA248" s="22"/>
      <c r="PYB248" s="22"/>
      <c r="PYC248" s="22"/>
      <c r="PYD248" s="22"/>
      <c r="PYE248" s="22"/>
      <c r="PYF248" s="22"/>
      <c r="PYG248" s="22"/>
      <c r="PYH248" s="22"/>
      <c r="PYI248" s="22"/>
      <c r="PYJ248" s="22"/>
      <c r="PYK248" s="22"/>
      <c r="PYL248" s="22"/>
      <c r="PYM248" s="22"/>
      <c r="PYN248" s="22"/>
      <c r="PYO248" s="22"/>
      <c r="PYP248" s="22"/>
      <c r="PYQ248" s="22"/>
      <c r="PYR248" s="22"/>
      <c r="PYS248" s="22"/>
      <c r="PYT248" s="22"/>
      <c r="PYU248" s="22"/>
      <c r="PYV248" s="22"/>
      <c r="PYW248" s="22"/>
      <c r="PYX248" s="22"/>
      <c r="PYY248" s="22"/>
      <c r="PYZ248" s="22"/>
      <c r="PZA248" s="22"/>
      <c r="PZB248" s="22"/>
      <c r="PZC248" s="22"/>
      <c r="PZD248" s="22"/>
      <c r="PZE248" s="22"/>
      <c r="PZF248" s="22"/>
      <c r="PZG248" s="22"/>
      <c r="PZH248" s="22"/>
      <c r="PZI248" s="22"/>
      <c r="PZJ248" s="22"/>
      <c r="PZK248" s="22"/>
      <c r="PZL248" s="22"/>
      <c r="PZM248" s="22"/>
      <c r="PZN248" s="22"/>
      <c r="PZO248" s="22"/>
      <c r="PZP248" s="22"/>
      <c r="PZQ248" s="22"/>
      <c r="PZR248" s="22"/>
      <c r="PZS248" s="22"/>
      <c r="PZT248" s="22"/>
      <c r="PZU248" s="22"/>
      <c r="PZV248" s="22"/>
      <c r="PZW248" s="22"/>
      <c r="PZX248" s="22"/>
      <c r="PZY248" s="22"/>
      <c r="PZZ248" s="22"/>
      <c r="QAA248" s="22"/>
      <c r="QAB248" s="22"/>
      <c r="QAC248" s="22"/>
      <c r="QAD248" s="22"/>
      <c r="QAE248" s="22"/>
      <c r="QAF248" s="22"/>
      <c r="QAG248" s="22"/>
      <c r="QAH248" s="22"/>
      <c r="QAI248" s="22"/>
      <c r="QAJ248" s="22"/>
      <c r="QAK248" s="22"/>
      <c r="QAL248" s="22"/>
      <c r="QAM248" s="22"/>
      <c r="QAN248" s="22"/>
      <c r="QAO248" s="22"/>
      <c r="QAP248" s="22"/>
      <c r="QAQ248" s="22"/>
      <c r="QAR248" s="22"/>
      <c r="QAS248" s="22"/>
      <c r="QAT248" s="22"/>
      <c r="QAU248" s="22"/>
      <c r="QAV248" s="22"/>
      <c r="QAW248" s="22"/>
      <c r="QAX248" s="22"/>
      <c r="QAY248" s="22"/>
      <c r="QAZ248" s="22"/>
      <c r="QBA248" s="22"/>
      <c r="QBB248" s="22"/>
      <c r="QBC248" s="22"/>
      <c r="QBD248" s="22"/>
      <c r="QBE248" s="22"/>
      <c r="QBF248" s="22"/>
      <c r="QBG248" s="22"/>
      <c r="QBH248" s="22"/>
      <c r="QBI248" s="22"/>
      <c r="QBJ248" s="22"/>
      <c r="QBK248" s="22"/>
      <c r="QBL248" s="22"/>
      <c r="QBM248" s="22"/>
      <c r="QBN248" s="22"/>
      <c r="QBO248" s="22"/>
      <c r="QBP248" s="22"/>
      <c r="QBQ248" s="22"/>
      <c r="QBR248" s="22"/>
      <c r="QBS248" s="22"/>
      <c r="QBT248" s="22"/>
      <c r="QBU248" s="22"/>
      <c r="QBV248" s="22"/>
      <c r="QBW248" s="22"/>
      <c r="QBX248" s="22"/>
      <c r="QBY248" s="22"/>
      <c r="QBZ248" s="22"/>
      <c r="QCA248" s="22"/>
      <c r="QCB248" s="22"/>
      <c r="QCC248" s="22"/>
      <c r="QCD248" s="22"/>
      <c r="QCE248" s="22"/>
      <c r="QCF248" s="22"/>
      <c r="QCG248" s="22"/>
      <c r="QCH248" s="22"/>
      <c r="QCI248" s="22"/>
      <c r="QCJ248" s="22"/>
      <c r="QCK248" s="22"/>
      <c r="QCL248" s="22"/>
      <c r="QCM248" s="22"/>
      <c r="QCN248" s="22"/>
      <c r="QCO248" s="22"/>
      <c r="QCP248" s="22"/>
      <c r="QCQ248" s="22"/>
      <c r="QCR248" s="22"/>
      <c r="QCS248" s="22"/>
      <c r="QCT248" s="22"/>
      <c r="QCU248" s="22"/>
      <c r="QCV248" s="22"/>
      <c r="QCW248" s="22"/>
      <c r="QCX248" s="22"/>
      <c r="QCY248" s="22"/>
      <c r="QCZ248" s="22"/>
      <c r="QDA248" s="22"/>
      <c r="QDB248" s="22"/>
      <c r="QDC248" s="22"/>
      <c r="QDD248" s="22"/>
      <c r="QDE248" s="22"/>
      <c r="QDF248" s="22"/>
      <c r="QDG248" s="22"/>
      <c r="QDH248" s="22"/>
      <c r="QDI248" s="22"/>
      <c r="QDJ248" s="22"/>
      <c r="QDK248" s="22"/>
      <c r="QDL248" s="22"/>
      <c r="QDM248" s="22"/>
      <c r="QDN248" s="22"/>
      <c r="QDO248" s="22"/>
      <c r="QDP248" s="22"/>
      <c r="QDQ248" s="22"/>
      <c r="QDR248" s="22"/>
      <c r="QDS248" s="22"/>
      <c r="QDT248" s="22"/>
      <c r="QDU248" s="22"/>
      <c r="QDV248" s="22"/>
      <c r="QDW248" s="22"/>
      <c r="QDX248" s="22"/>
      <c r="QDY248" s="22"/>
      <c r="QDZ248" s="22"/>
      <c r="QEA248" s="22"/>
      <c r="QEB248" s="22"/>
      <c r="QEC248" s="22"/>
      <c r="QED248" s="22"/>
      <c r="QEE248" s="22"/>
      <c r="QEF248" s="22"/>
      <c r="QEG248" s="22"/>
      <c r="QEH248" s="22"/>
      <c r="QEI248" s="22"/>
      <c r="QEJ248" s="22"/>
      <c r="QEK248" s="22"/>
      <c r="QEL248" s="22"/>
      <c r="QEM248" s="22"/>
      <c r="QEN248" s="22"/>
      <c r="QEO248" s="22"/>
      <c r="QEP248" s="22"/>
      <c r="QEQ248" s="22"/>
      <c r="QER248" s="22"/>
      <c r="QES248" s="22"/>
      <c r="QET248" s="22"/>
      <c r="QEU248" s="22"/>
      <c r="QEV248" s="22"/>
      <c r="QEW248" s="22"/>
      <c r="QEX248" s="22"/>
      <c r="QEY248" s="22"/>
      <c r="QEZ248" s="22"/>
      <c r="QFA248" s="22"/>
      <c r="QFB248" s="22"/>
      <c r="QFC248" s="22"/>
      <c r="QFD248" s="22"/>
      <c r="QFE248" s="22"/>
      <c r="QFF248" s="22"/>
      <c r="QFG248" s="22"/>
      <c r="QFH248" s="22"/>
      <c r="QFI248" s="22"/>
      <c r="QFJ248" s="22"/>
      <c r="QFK248" s="22"/>
      <c r="QFL248" s="22"/>
      <c r="QFM248" s="22"/>
      <c r="QFN248" s="22"/>
      <c r="QFO248" s="22"/>
      <c r="QFP248" s="22"/>
      <c r="QFQ248" s="22"/>
      <c r="QFR248" s="22"/>
      <c r="QFS248" s="22"/>
      <c r="QFT248" s="22"/>
      <c r="QFU248" s="22"/>
      <c r="QFV248" s="22"/>
      <c r="QFW248" s="22"/>
      <c r="QFX248" s="22"/>
      <c r="QFY248" s="22"/>
      <c r="QFZ248" s="22"/>
      <c r="QGA248" s="22"/>
      <c r="QGB248" s="22"/>
      <c r="QGC248" s="22"/>
      <c r="QGD248" s="22"/>
      <c r="QGE248" s="22"/>
      <c r="QGF248" s="22"/>
      <c r="QGG248" s="22"/>
      <c r="QGH248" s="22"/>
      <c r="QGI248" s="22"/>
      <c r="QGJ248" s="22"/>
      <c r="QGK248" s="22"/>
      <c r="QGL248" s="22"/>
      <c r="QGM248" s="22"/>
      <c r="QGN248" s="22"/>
      <c r="QGO248" s="22"/>
      <c r="QGP248" s="22"/>
      <c r="QGQ248" s="22"/>
      <c r="QGR248" s="22"/>
      <c r="QGS248" s="22"/>
      <c r="QGT248" s="22"/>
      <c r="QGU248" s="22"/>
      <c r="QGV248" s="22"/>
      <c r="QGW248" s="22"/>
      <c r="QGX248" s="22"/>
      <c r="QGY248" s="22"/>
      <c r="QGZ248" s="22"/>
      <c r="QHA248" s="22"/>
      <c r="QHB248" s="22"/>
      <c r="QHC248" s="22"/>
      <c r="QHD248" s="22"/>
      <c r="QHE248" s="22"/>
      <c r="QHF248" s="22"/>
      <c r="QHG248" s="22"/>
      <c r="QHH248" s="22"/>
      <c r="QHI248" s="22"/>
      <c r="QHJ248" s="22"/>
      <c r="QHK248" s="22"/>
      <c r="QHL248" s="22"/>
      <c r="QHM248" s="22"/>
      <c r="QHN248" s="22"/>
      <c r="QHO248" s="22"/>
      <c r="QHP248" s="22"/>
      <c r="QHQ248" s="22"/>
      <c r="QHR248" s="22"/>
      <c r="QHS248" s="22"/>
      <c r="QHT248" s="22"/>
      <c r="QHU248" s="22"/>
      <c r="QHV248" s="22"/>
      <c r="QHW248" s="22"/>
      <c r="QHX248" s="22"/>
      <c r="QHY248" s="22"/>
      <c r="QHZ248" s="22"/>
      <c r="QIA248" s="22"/>
      <c r="QIB248" s="22"/>
      <c r="QIC248" s="22"/>
      <c r="QID248" s="22"/>
      <c r="QIE248" s="22"/>
      <c r="QIF248" s="22"/>
      <c r="QIG248" s="22"/>
      <c r="QIH248" s="22"/>
      <c r="QII248" s="22"/>
      <c r="QIJ248" s="22"/>
      <c r="QIK248" s="22"/>
      <c r="QIL248" s="22"/>
      <c r="QIM248" s="22"/>
      <c r="QIN248" s="22"/>
      <c r="QIO248" s="22"/>
      <c r="QIP248" s="22"/>
      <c r="QIQ248" s="22"/>
      <c r="QIR248" s="22"/>
      <c r="QIS248" s="22"/>
      <c r="QIT248" s="22"/>
      <c r="QIU248" s="22"/>
      <c r="QIV248" s="22"/>
      <c r="QIW248" s="22"/>
      <c r="QIX248" s="22"/>
      <c r="QIY248" s="22"/>
      <c r="QIZ248" s="22"/>
      <c r="QJA248" s="22"/>
      <c r="QJB248" s="22"/>
      <c r="QJC248" s="22"/>
      <c r="QJD248" s="22"/>
      <c r="QJE248" s="22"/>
      <c r="QJF248" s="22"/>
      <c r="QJG248" s="22"/>
      <c r="QJH248" s="22"/>
      <c r="QJI248" s="22"/>
      <c r="QJJ248" s="22"/>
      <c r="QJK248" s="22"/>
      <c r="QJL248" s="22"/>
      <c r="QJM248" s="22"/>
      <c r="QJN248" s="22"/>
      <c r="QJO248" s="22"/>
      <c r="QJP248" s="22"/>
      <c r="QJQ248" s="22"/>
      <c r="QJR248" s="22"/>
      <c r="QJS248" s="22"/>
      <c r="QJT248" s="22"/>
      <c r="QJU248" s="22"/>
      <c r="QJV248" s="22"/>
      <c r="QJW248" s="22"/>
      <c r="QJX248" s="22"/>
      <c r="QJY248" s="22"/>
      <c r="QJZ248" s="22"/>
      <c r="QKA248" s="22"/>
      <c r="QKB248" s="22"/>
      <c r="QKC248" s="22"/>
      <c r="QKD248" s="22"/>
      <c r="QKE248" s="22"/>
      <c r="QKF248" s="22"/>
      <c r="QKG248" s="22"/>
      <c r="QKH248" s="22"/>
      <c r="QKI248" s="22"/>
      <c r="QKJ248" s="22"/>
      <c r="QKK248" s="22"/>
      <c r="QKL248" s="22"/>
      <c r="QKM248" s="22"/>
      <c r="QKN248" s="22"/>
      <c r="QKO248" s="22"/>
      <c r="QKP248" s="22"/>
      <c r="QKQ248" s="22"/>
      <c r="QKR248" s="22"/>
      <c r="QKS248" s="22"/>
      <c r="QKT248" s="22"/>
      <c r="QKU248" s="22"/>
      <c r="QKV248" s="22"/>
      <c r="QKW248" s="22"/>
      <c r="QKX248" s="22"/>
      <c r="QKY248" s="22"/>
      <c r="QKZ248" s="22"/>
      <c r="QLA248" s="22"/>
      <c r="QLB248" s="22"/>
      <c r="QLC248" s="22"/>
      <c r="QLD248" s="22"/>
      <c r="QLE248" s="22"/>
      <c r="QLF248" s="22"/>
      <c r="QLG248" s="22"/>
      <c r="QLH248" s="22"/>
      <c r="QLI248" s="22"/>
      <c r="QLJ248" s="22"/>
      <c r="QLK248" s="22"/>
      <c r="QLL248" s="22"/>
      <c r="QLM248" s="22"/>
      <c r="QLN248" s="22"/>
      <c r="QLO248" s="22"/>
      <c r="QLP248" s="22"/>
      <c r="QLQ248" s="22"/>
      <c r="QLR248" s="22"/>
      <c r="QLS248" s="22"/>
      <c r="QLT248" s="22"/>
      <c r="QLU248" s="22"/>
      <c r="QLV248" s="22"/>
      <c r="QLW248" s="22"/>
      <c r="QLX248" s="22"/>
      <c r="QLY248" s="22"/>
      <c r="QLZ248" s="22"/>
      <c r="QMA248" s="22"/>
      <c r="QMB248" s="22"/>
      <c r="QMC248" s="22"/>
      <c r="QMD248" s="22"/>
      <c r="QME248" s="22"/>
      <c r="QMF248" s="22"/>
      <c r="QMG248" s="22"/>
      <c r="QMH248" s="22"/>
      <c r="QMI248" s="22"/>
      <c r="QMJ248" s="22"/>
      <c r="QMK248" s="22"/>
      <c r="QML248" s="22"/>
      <c r="QMM248" s="22"/>
      <c r="QMN248" s="22"/>
      <c r="QMO248" s="22"/>
      <c r="QMP248" s="22"/>
      <c r="QMQ248" s="22"/>
      <c r="QMR248" s="22"/>
      <c r="QMS248" s="22"/>
      <c r="QMT248" s="22"/>
      <c r="QMU248" s="22"/>
      <c r="QMV248" s="22"/>
      <c r="QMW248" s="22"/>
      <c r="QMX248" s="22"/>
      <c r="QMY248" s="22"/>
      <c r="QMZ248" s="22"/>
      <c r="QNA248" s="22"/>
      <c r="QNB248" s="22"/>
      <c r="QNC248" s="22"/>
      <c r="QND248" s="22"/>
      <c r="QNE248" s="22"/>
      <c r="QNF248" s="22"/>
      <c r="QNG248" s="22"/>
      <c r="QNH248" s="22"/>
      <c r="QNI248" s="22"/>
      <c r="QNJ248" s="22"/>
      <c r="QNK248" s="22"/>
      <c r="QNL248" s="22"/>
      <c r="QNM248" s="22"/>
      <c r="QNN248" s="22"/>
      <c r="QNO248" s="22"/>
      <c r="QNP248" s="22"/>
      <c r="QNQ248" s="22"/>
      <c r="QNR248" s="22"/>
      <c r="QNS248" s="22"/>
      <c r="QNT248" s="22"/>
      <c r="QNU248" s="22"/>
      <c r="QNV248" s="22"/>
      <c r="QNW248" s="22"/>
      <c r="QNX248" s="22"/>
      <c r="QNY248" s="22"/>
      <c r="QNZ248" s="22"/>
      <c r="QOA248" s="22"/>
      <c r="QOB248" s="22"/>
      <c r="QOC248" s="22"/>
      <c r="QOD248" s="22"/>
      <c r="QOE248" s="22"/>
      <c r="QOF248" s="22"/>
      <c r="QOG248" s="22"/>
      <c r="QOH248" s="22"/>
      <c r="QOI248" s="22"/>
      <c r="QOJ248" s="22"/>
      <c r="QOK248" s="22"/>
      <c r="QOL248" s="22"/>
      <c r="QOM248" s="22"/>
      <c r="QON248" s="22"/>
      <c r="QOO248" s="22"/>
      <c r="QOP248" s="22"/>
      <c r="QOQ248" s="22"/>
      <c r="QOR248" s="22"/>
      <c r="QOS248" s="22"/>
      <c r="QOT248" s="22"/>
      <c r="QOU248" s="22"/>
      <c r="QOV248" s="22"/>
      <c r="QOW248" s="22"/>
      <c r="QOX248" s="22"/>
      <c r="QOY248" s="22"/>
      <c r="QOZ248" s="22"/>
      <c r="QPA248" s="22"/>
      <c r="QPB248" s="22"/>
      <c r="QPC248" s="22"/>
      <c r="QPD248" s="22"/>
      <c r="QPE248" s="22"/>
      <c r="QPF248" s="22"/>
      <c r="QPG248" s="22"/>
      <c r="QPH248" s="22"/>
      <c r="QPI248" s="22"/>
      <c r="QPJ248" s="22"/>
      <c r="QPK248" s="22"/>
      <c r="QPL248" s="22"/>
      <c r="QPM248" s="22"/>
      <c r="QPN248" s="22"/>
      <c r="QPO248" s="22"/>
      <c r="QPP248" s="22"/>
      <c r="QPQ248" s="22"/>
      <c r="QPR248" s="22"/>
      <c r="QPS248" s="22"/>
      <c r="QPT248" s="22"/>
      <c r="QPU248" s="22"/>
      <c r="QPV248" s="22"/>
      <c r="QPW248" s="22"/>
      <c r="QPX248" s="22"/>
      <c r="QPY248" s="22"/>
      <c r="QPZ248" s="22"/>
      <c r="QQA248" s="22"/>
      <c r="QQB248" s="22"/>
      <c r="QQC248" s="22"/>
      <c r="QQD248" s="22"/>
      <c r="QQE248" s="22"/>
      <c r="QQF248" s="22"/>
      <c r="QQG248" s="22"/>
      <c r="QQH248" s="22"/>
      <c r="QQI248" s="22"/>
      <c r="QQJ248" s="22"/>
      <c r="QQK248" s="22"/>
      <c r="QQL248" s="22"/>
      <c r="QQM248" s="22"/>
      <c r="QQN248" s="22"/>
      <c r="QQO248" s="22"/>
      <c r="QQP248" s="22"/>
      <c r="QQQ248" s="22"/>
      <c r="QQR248" s="22"/>
      <c r="QQS248" s="22"/>
      <c r="QQT248" s="22"/>
      <c r="QQU248" s="22"/>
      <c r="QQV248" s="22"/>
      <c r="QQW248" s="22"/>
      <c r="QQX248" s="22"/>
      <c r="QQY248" s="22"/>
      <c r="QQZ248" s="22"/>
      <c r="QRA248" s="22"/>
      <c r="QRB248" s="22"/>
      <c r="QRC248" s="22"/>
      <c r="QRD248" s="22"/>
      <c r="QRE248" s="22"/>
      <c r="QRF248" s="22"/>
      <c r="QRG248" s="22"/>
      <c r="QRH248" s="22"/>
      <c r="QRI248" s="22"/>
      <c r="QRJ248" s="22"/>
      <c r="QRK248" s="22"/>
      <c r="QRL248" s="22"/>
      <c r="QRM248" s="22"/>
      <c r="QRN248" s="22"/>
      <c r="QRO248" s="22"/>
      <c r="QRP248" s="22"/>
      <c r="QRQ248" s="22"/>
      <c r="QRR248" s="22"/>
      <c r="QRS248" s="22"/>
      <c r="QRT248" s="22"/>
      <c r="QRU248" s="22"/>
      <c r="QRV248" s="22"/>
      <c r="QRW248" s="22"/>
      <c r="QRX248" s="22"/>
      <c r="QRY248" s="22"/>
      <c r="QRZ248" s="22"/>
      <c r="QSA248" s="22"/>
      <c r="QSB248" s="22"/>
      <c r="QSC248" s="22"/>
      <c r="QSD248" s="22"/>
      <c r="QSE248" s="22"/>
      <c r="QSF248" s="22"/>
      <c r="QSG248" s="22"/>
      <c r="QSH248" s="22"/>
      <c r="QSI248" s="22"/>
      <c r="QSJ248" s="22"/>
      <c r="QSK248" s="22"/>
      <c r="QSL248" s="22"/>
      <c r="QSM248" s="22"/>
      <c r="QSN248" s="22"/>
      <c r="QSO248" s="22"/>
      <c r="QSP248" s="22"/>
      <c r="QSQ248" s="22"/>
      <c r="QSR248" s="22"/>
      <c r="QSS248" s="22"/>
      <c r="QST248" s="22"/>
      <c r="QSU248" s="22"/>
      <c r="QSV248" s="22"/>
      <c r="QSW248" s="22"/>
      <c r="QSX248" s="22"/>
      <c r="QSY248" s="22"/>
      <c r="QSZ248" s="22"/>
      <c r="QTA248" s="22"/>
      <c r="QTB248" s="22"/>
      <c r="QTC248" s="22"/>
      <c r="QTD248" s="22"/>
      <c r="QTE248" s="22"/>
      <c r="QTF248" s="22"/>
      <c r="QTG248" s="22"/>
      <c r="QTH248" s="22"/>
      <c r="QTI248" s="22"/>
      <c r="QTJ248" s="22"/>
      <c r="QTK248" s="22"/>
      <c r="QTL248" s="22"/>
      <c r="QTM248" s="22"/>
      <c r="QTN248" s="22"/>
      <c r="QTO248" s="22"/>
      <c r="QTP248" s="22"/>
      <c r="QTQ248" s="22"/>
      <c r="QTR248" s="22"/>
      <c r="QTS248" s="22"/>
      <c r="QTT248" s="22"/>
      <c r="QTU248" s="22"/>
      <c r="QTV248" s="22"/>
      <c r="QTW248" s="22"/>
      <c r="QTX248" s="22"/>
      <c r="QTY248" s="22"/>
      <c r="QTZ248" s="22"/>
      <c r="QUA248" s="22"/>
      <c r="QUB248" s="22"/>
      <c r="QUC248" s="22"/>
      <c r="QUD248" s="22"/>
      <c r="QUE248" s="22"/>
      <c r="QUF248" s="22"/>
      <c r="QUG248" s="22"/>
      <c r="QUH248" s="22"/>
      <c r="QUI248" s="22"/>
      <c r="QUJ248" s="22"/>
      <c r="QUK248" s="22"/>
      <c r="QUL248" s="22"/>
      <c r="QUM248" s="22"/>
      <c r="QUN248" s="22"/>
      <c r="QUO248" s="22"/>
      <c r="QUP248" s="22"/>
      <c r="QUQ248" s="22"/>
      <c r="QUR248" s="22"/>
      <c r="QUS248" s="22"/>
      <c r="QUT248" s="22"/>
      <c r="QUU248" s="22"/>
      <c r="QUV248" s="22"/>
      <c r="QUW248" s="22"/>
      <c r="QUX248" s="22"/>
      <c r="QUY248" s="22"/>
      <c r="QUZ248" s="22"/>
      <c r="QVA248" s="22"/>
      <c r="QVB248" s="22"/>
      <c r="QVC248" s="22"/>
      <c r="QVD248" s="22"/>
      <c r="QVE248" s="22"/>
      <c r="QVF248" s="22"/>
      <c r="QVG248" s="22"/>
      <c r="QVH248" s="22"/>
      <c r="QVI248" s="22"/>
      <c r="QVJ248" s="22"/>
      <c r="QVK248" s="22"/>
      <c r="QVL248" s="22"/>
      <c r="QVM248" s="22"/>
      <c r="QVN248" s="22"/>
      <c r="QVO248" s="22"/>
      <c r="QVP248" s="22"/>
      <c r="QVQ248" s="22"/>
      <c r="QVR248" s="22"/>
      <c r="QVS248" s="22"/>
      <c r="QVT248" s="22"/>
      <c r="QVU248" s="22"/>
      <c r="QVV248" s="22"/>
      <c r="QVW248" s="22"/>
      <c r="QVX248" s="22"/>
      <c r="QVY248" s="22"/>
      <c r="QVZ248" s="22"/>
      <c r="QWA248" s="22"/>
      <c r="QWB248" s="22"/>
      <c r="QWC248" s="22"/>
      <c r="QWD248" s="22"/>
      <c r="QWE248" s="22"/>
      <c r="QWF248" s="22"/>
      <c r="QWG248" s="22"/>
      <c r="QWH248" s="22"/>
      <c r="QWI248" s="22"/>
      <c r="QWJ248" s="22"/>
      <c r="QWK248" s="22"/>
      <c r="QWL248" s="22"/>
      <c r="QWM248" s="22"/>
      <c r="QWN248" s="22"/>
      <c r="QWO248" s="22"/>
      <c r="QWP248" s="22"/>
      <c r="QWQ248" s="22"/>
      <c r="QWR248" s="22"/>
      <c r="QWS248" s="22"/>
      <c r="QWT248" s="22"/>
      <c r="QWU248" s="22"/>
      <c r="QWV248" s="22"/>
      <c r="QWW248" s="22"/>
      <c r="QWX248" s="22"/>
      <c r="QWY248" s="22"/>
      <c r="QWZ248" s="22"/>
      <c r="QXA248" s="22"/>
      <c r="QXB248" s="22"/>
      <c r="QXC248" s="22"/>
      <c r="QXD248" s="22"/>
      <c r="QXE248" s="22"/>
      <c r="QXF248" s="22"/>
      <c r="QXG248" s="22"/>
      <c r="QXH248" s="22"/>
      <c r="QXI248" s="22"/>
      <c r="QXJ248" s="22"/>
      <c r="QXK248" s="22"/>
      <c r="QXL248" s="22"/>
      <c r="QXM248" s="22"/>
      <c r="QXN248" s="22"/>
      <c r="QXO248" s="22"/>
      <c r="QXP248" s="22"/>
      <c r="QXQ248" s="22"/>
      <c r="QXR248" s="22"/>
      <c r="QXS248" s="22"/>
      <c r="QXT248" s="22"/>
      <c r="QXU248" s="22"/>
      <c r="QXV248" s="22"/>
      <c r="QXW248" s="22"/>
      <c r="QXX248" s="22"/>
      <c r="QXY248" s="22"/>
      <c r="QXZ248" s="22"/>
      <c r="QYA248" s="22"/>
      <c r="QYB248" s="22"/>
      <c r="QYC248" s="22"/>
      <c r="QYD248" s="22"/>
      <c r="QYE248" s="22"/>
      <c r="QYF248" s="22"/>
      <c r="QYG248" s="22"/>
      <c r="QYH248" s="22"/>
      <c r="QYI248" s="22"/>
      <c r="QYJ248" s="22"/>
      <c r="QYK248" s="22"/>
      <c r="QYL248" s="22"/>
      <c r="QYM248" s="22"/>
      <c r="QYN248" s="22"/>
      <c r="QYO248" s="22"/>
      <c r="QYP248" s="22"/>
      <c r="QYQ248" s="22"/>
      <c r="QYR248" s="22"/>
      <c r="QYS248" s="22"/>
      <c r="QYT248" s="22"/>
      <c r="QYU248" s="22"/>
      <c r="QYV248" s="22"/>
      <c r="QYW248" s="22"/>
      <c r="QYX248" s="22"/>
      <c r="QYY248" s="22"/>
      <c r="QYZ248" s="22"/>
      <c r="QZA248" s="22"/>
      <c r="QZB248" s="22"/>
      <c r="QZC248" s="22"/>
      <c r="QZD248" s="22"/>
      <c r="QZE248" s="22"/>
      <c r="QZF248" s="22"/>
      <c r="QZG248" s="22"/>
      <c r="QZH248" s="22"/>
      <c r="QZI248" s="22"/>
      <c r="QZJ248" s="22"/>
      <c r="QZK248" s="22"/>
      <c r="QZL248" s="22"/>
      <c r="QZM248" s="22"/>
      <c r="QZN248" s="22"/>
      <c r="QZO248" s="22"/>
      <c r="QZP248" s="22"/>
      <c r="QZQ248" s="22"/>
      <c r="QZR248" s="22"/>
      <c r="QZS248" s="22"/>
      <c r="QZT248" s="22"/>
      <c r="QZU248" s="22"/>
      <c r="QZV248" s="22"/>
      <c r="QZW248" s="22"/>
      <c r="QZX248" s="22"/>
      <c r="QZY248" s="22"/>
      <c r="QZZ248" s="22"/>
      <c r="RAA248" s="22"/>
      <c r="RAB248" s="22"/>
      <c r="RAC248" s="22"/>
      <c r="RAD248" s="22"/>
      <c r="RAE248" s="22"/>
      <c r="RAF248" s="22"/>
      <c r="RAG248" s="22"/>
      <c r="RAH248" s="22"/>
      <c r="RAI248" s="22"/>
      <c r="RAJ248" s="22"/>
      <c r="RAK248" s="22"/>
      <c r="RAL248" s="22"/>
      <c r="RAM248" s="22"/>
      <c r="RAN248" s="22"/>
      <c r="RAO248" s="22"/>
      <c r="RAP248" s="22"/>
      <c r="RAQ248" s="22"/>
      <c r="RAR248" s="22"/>
      <c r="RAS248" s="22"/>
      <c r="RAT248" s="22"/>
      <c r="RAU248" s="22"/>
      <c r="RAV248" s="22"/>
      <c r="RAW248" s="22"/>
      <c r="RAX248" s="22"/>
      <c r="RAY248" s="22"/>
      <c r="RAZ248" s="22"/>
      <c r="RBA248" s="22"/>
      <c r="RBB248" s="22"/>
      <c r="RBC248" s="22"/>
      <c r="RBD248" s="22"/>
      <c r="RBE248" s="22"/>
      <c r="RBF248" s="22"/>
      <c r="RBG248" s="22"/>
      <c r="RBH248" s="22"/>
      <c r="RBI248" s="22"/>
      <c r="RBJ248" s="22"/>
      <c r="RBK248" s="22"/>
      <c r="RBL248" s="22"/>
      <c r="RBM248" s="22"/>
      <c r="RBN248" s="22"/>
      <c r="RBO248" s="22"/>
      <c r="RBP248" s="22"/>
      <c r="RBQ248" s="22"/>
      <c r="RBR248" s="22"/>
      <c r="RBS248" s="22"/>
      <c r="RBT248" s="22"/>
      <c r="RBU248" s="22"/>
      <c r="RBV248" s="22"/>
      <c r="RBW248" s="22"/>
      <c r="RBX248" s="22"/>
      <c r="RBY248" s="22"/>
      <c r="RBZ248" s="22"/>
      <c r="RCA248" s="22"/>
      <c r="RCB248" s="22"/>
      <c r="RCC248" s="22"/>
      <c r="RCD248" s="22"/>
      <c r="RCE248" s="22"/>
      <c r="RCF248" s="22"/>
      <c r="RCG248" s="22"/>
      <c r="RCH248" s="22"/>
      <c r="RCI248" s="22"/>
      <c r="RCJ248" s="22"/>
      <c r="RCK248" s="22"/>
      <c r="RCL248" s="22"/>
      <c r="RCM248" s="22"/>
      <c r="RCN248" s="22"/>
      <c r="RCO248" s="22"/>
      <c r="RCP248" s="22"/>
      <c r="RCQ248" s="22"/>
      <c r="RCR248" s="22"/>
      <c r="RCS248" s="22"/>
      <c r="RCT248" s="22"/>
      <c r="RCU248" s="22"/>
      <c r="RCV248" s="22"/>
      <c r="RCW248" s="22"/>
      <c r="RCX248" s="22"/>
      <c r="RCY248" s="22"/>
      <c r="RCZ248" s="22"/>
      <c r="RDA248" s="22"/>
      <c r="RDB248" s="22"/>
      <c r="RDC248" s="22"/>
      <c r="RDD248" s="22"/>
      <c r="RDE248" s="22"/>
      <c r="RDF248" s="22"/>
      <c r="RDG248" s="22"/>
      <c r="RDH248" s="22"/>
      <c r="RDI248" s="22"/>
      <c r="RDJ248" s="22"/>
      <c r="RDK248" s="22"/>
      <c r="RDL248" s="22"/>
      <c r="RDM248" s="22"/>
      <c r="RDN248" s="22"/>
      <c r="RDO248" s="22"/>
      <c r="RDP248" s="22"/>
      <c r="RDQ248" s="22"/>
      <c r="RDR248" s="22"/>
      <c r="RDS248" s="22"/>
      <c r="RDT248" s="22"/>
      <c r="RDU248" s="22"/>
      <c r="RDV248" s="22"/>
      <c r="RDW248" s="22"/>
      <c r="RDX248" s="22"/>
      <c r="RDY248" s="22"/>
      <c r="RDZ248" s="22"/>
      <c r="REA248" s="22"/>
      <c r="REB248" s="22"/>
      <c r="REC248" s="22"/>
      <c r="RED248" s="22"/>
      <c r="REE248" s="22"/>
      <c r="REF248" s="22"/>
      <c r="REG248" s="22"/>
      <c r="REH248" s="22"/>
      <c r="REI248" s="22"/>
      <c r="REJ248" s="22"/>
      <c r="REK248" s="22"/>
      <c r="REL248" s="22"/>
      <c r="REM248" s="22"/>
      <c r="REN248" s="22"/>
      <c r="REO248" s="22"/>
      <c r="REP248" s="22"/>
      <c r="REQ248" s="22"/>
      <c r="RER248" s="22"/>
      <c r="RES248" s="22"/>
      <c r="RET248" s="22"/>
      <c r="REU248" s="22"/>
      <c r="REV248" s="22"/>
      <c r="REW248" s="22"/>
      <c r="REX248" s="22"/>
      <c r="REY248" s="22"/>
      <c r="REZ248" s="22"/>
      <c r="RFA248" s="22"/>
      <c r="RFB248" s="22"/>
      <c r="RFC248" s="22"/>
      <c r="RFD248" s="22"/>
      <c r="RFE248" s="22"/>
      <c r="RFF248" s="22"/>
      <c r="RFG248" s="22"/>
      <c r="RFH248" s="22"/>
      <c r="RFI248" s="22"/>
      <c r="RFJ248" s="22"/>
      <c r="RFK248" s="22"/>
      <c r="RFL248" s="22"/>
      <c r="RFM248" s="22"/>
      <c r="RFN248" s="22"/>
      <c r="RFO248" s="22"/>
      <c r="RFP248" s="22"/>
      <c r="RFQ248" s="22"/>
      <c r="RFR248" s="22"/>
      <c r="RFS248" s="22"/>
      <c r="RFT248" s="22"/>
      <c r="RFU248" s="22"/>
      <c r="RFV248" s="22"/>
      <c r="RFW248" s="22"/>
      <c r="RFX248" s="22"/>
      <c r="RFY248" s="22"/>
      <c r="RFZ248" s="22"/>
      <c r="RGA248" s="22"/>
      <c r="RGB248" s="22"/>
      <c r="RGC248" s="22"/>
      <c r="RGD248" s="22"/>
      <c r="RGE248" s="22"/>
      <c r="RGF248" s="22"/>
      <c r="RGG248" s="22"/>
      <c r="RGH248" s="22"/>
      <c r="RGI248" s="22"/>
      <c r="RGJ248" s="22"/>
      <c r="RGK248" s="22"/>
      <c r="RGL248" s="22"/>
      <c r="RGM248" s="22"/>
      <c r="RGN248" s="22"/>
      <c r="RGO248" s="22"/>
      <c r="RGP248" s="22"/>
      <c r="RGQ248" s="22"/>
      <c r="RGR248" s="22"/>
      <c r="RGS248" s="22"/>
      <c r="RGT248" s="22"/>
      <c r="RGU248" s="22"/>
      <c r="RGV248" s="22"/>
      <c r="RGW248" s="22"/>
      <c r="RGX248" s="22"/>
      <c r="RGY248" s="22"/>
      <c r="RGZ248" s="22"/>
      <c r="RHA248" s="22"/>
      <c r="RHB248" s="22"/>
      <c r="RHC248" s="22"/>
      <c r="RHD248" s="22"/>
      <c r="RHE248" s="22"/>
      <c r="RHF248" s="22"/>
      <c r="RHG248" s="22"/>
      <c r="RHH248" s="22"/>
      <c r="RHI248" s="22"/>
      <c r="RHJ248" s="22"/>
      <c r="RHK248" s="22"/>
      <c r="RHL248" s="22"/>
      <c r="RHM248" s="22"/>
      <c r="RHN248" s="22"/>
      <c r="RHO248" s="22"/>
      <c r="RHP248" s="22"/>
      <c r="RHQ248" s="22"/>
      <c r="RHR248" s="22"/>
      <c r="RHS248" s="22"/>
      <c r="RHT248" s="22"/>
      <c r="RHU248" s="22"/>
      <c r="RHV248" s="22"/>
      <c r="RHW248" s="22"/>
      <c r="RHX248" s="22"/>
      <c r="RHY248" s="22"/>
      <c r="RHZ248" s="22"/>
      <c r="RIA248" s="22"/>
      <c r="RIB248" s="22"/>
      <c r="RIC248" s="22"/>
      <c r="RID248" s="22"/>
      <c r="RIE248" s="22"/>
      <c r="RIF248" s="22"/>
      <c r="RIG248" s="22"/>
      <c r="RIH248" s="22"/>
      <c r="RII248" s="22"/>
      <c r="RIJ248" s="22"/>
      <c r="RIK248" s="22"/>
      <c r="RIL248" s="22"/>
      <c r="RIM248" s="22"/>
      <c r="RIN248" s="22"/>
      <c r="RIO248" s="22"/>
      <c r="RIP248" s="22"/>
      <c r="RIQ248" s="22"/>
      <c r="RIR248" s="22"/>
      <c r="RIS248" s="22"/>
      <c r="RIT248" s="22"/>
      <c r="RIU248" s="22"/>
      <c r="RIV248" s="22"/>
      <c r="RIW248" s="22"/>
      <c r="RIX248" s="22"/>
      <c r="RIY248" s="22"/>
      <c r="RIZ248" s="22"/>
      <c r="RJA248" s="22"/>
      <c r="RJB248" s="22"/>
      <c r="RJC248" s="22"/>
      <c r="RJD248" s="22"/>
      <c r="RJE248" s="22"/>
      <c r="RJF248" s="22"/>
      <c r="RJG248" s="22"/>
      <c r="RJH248" s="22"/>
      <c r="RJI248" s="22"/>
      <c r="RJJ248" s="22"/>
      <c r="RJK248" s="22"/>
      <c r="RJL248" s="22"/>
      <c r="RJM248" s="22"/>
      <c r="RJN248" s="22"/>
      <c r="RJO248" s="22"/>
      <c r="RJP248" s="22"/>
      <c r="RJQ248" s="22"/>
      <c r="RJR248" s="22"/>
      <c r="RJS248" s="22"/>
      <c r="RJT248" s="22"/>
      <c r="RJU248" s="22"/>
      <c r="RJV248" s="22"/>
      <c r="RJW248" s="22"/>
      <c r="RJX248" s="22"/>
      <c r="RJY248" s="22"/>
      <c r="RJZ248" s="22"/>
      <c r="RKA248" s="22"/>
      <c r="RKB248" s="22"/>
      <c r="RKC248" s="22"/>
      <c r="RKD248" s="22"/>
      <c r="RKE248" s="22"/>
      <c r="RKF248" s="22"/>
      <c r="RKG248" s="22"/>
      <c r="RKH248" s="22"/>
      <c r="RKI248" s="22"/>
      <c r="RKJ248" s="22"/>
      <c r="RKK248" s="22"/>
      <c r="RKL248" s="22"/>
      <c r="RKM248" s="22"/>
      <c r="RKN248" s="22"/>
      <c r="RKO248" s="22"/>
      <c r="RKP248" s="22"/>
      <c r="RKQ248" s="22"/>
      <c r="RKR248" s="22"/>
      <c r="RKS248" s="22"/>
      <c r="RKT248" s="22"/>
      <c r="RKU248" s="22"/>
      <c r="RKV248" s="22"/>
      <c r="RKW248" s="22"/>
      <c r="RKX248" s="22"/>
      <c r="RKY248" s="22"/>
      <c r="RKZ248" s="22"/>
      <c r="RLA248" s="22"/>
      <c r="RLB248" s="22"/>
      <c r="RLC248" s="22"/>
      <c r="RLD248" s="22"/>
      <c r="RLE248" s="22"/>
      <c r="RLF248" s="22"/>
      <c r="RLG248" s="22"/>
      <c r="RLH248" s="22"/>
      <c r="RLI248" s="22"/>
      <c r="RLJ248" s="22"/>
      <c r="RLK248" s="22"/>
      <c r="RLL248" s="22"/>
      <c r="RLM248" s="22"/>
      <c r="RLN248" s="22"/>
      <c r="RLO248" s="22"/>
      <c r="RLP248" s="22"/>
      <c r="RLQ248" s="22"/>
      <c r="RLR248" s="22"/>
      <c r="RLS248" s="22"/>
      <c r="RLT248" s="22"/>
      <c r="RLU248" s="22"/>
      <c r="RLV248" s="22"/>
      <c r="RLW248" s="22"/>
      <c r="RLX248" s="22"/>
      <c r="RLY248" s="22"/>
      <c r="RLZ248" s="22"/>
      <c r="RMA248" s="22"/>
      <c r="RMB248" s="22"/>
      <c r="RMC248" s="22"/>
      <c r="RMD248" s="22"/>
      <c r="RME248" s="22"/>
      <c r="RMF248" s="22"/>
      <c r="RMG248" s="22"/>
      <c r="RMH248" s="22"/>
      <c r="RMI248" s="22"/>
      <c r="RMJ248" s="22"/>
      <c r="RMK248" s="22"/>
      <c r="RML248" s="22"/>
      <c r="RMM248" s="22"/>
      <c r="RMN248" s="22"/>
      <c r="RMO248" s="22"/>
      <c r="RMP248" s="22"/>
      <c r="RMQ248" s="22"/>
      <c r="RMR248" s="22"/>
      <c r="RMS248" s="22"/>
      <c r="RMT248" s="22"/>
      <c r="RMU248" s="22"/>
      <c r="RMV248" s="22"/>
      <c r="RMW248" s="22"/>
      <c r="RMX248" s="22"/>
      <c r="RMY248" s="22"/>
      <c r="RMZ248" s="22"/>
      <c r="RNA248" s="22"/>
      <c r="RNB248" s="22"/>
      <c r="RNC248" s="22"/>
      <c r="RND248" s="22"/>
      <c r="RNE248" s="22"/>
      <c r="RNF248" s="22"/>
      <c r="RNG248" s="22"/>
      <c r="RNH248" s="22"/>
      <c r="RNI248" s="22"/>
      <c r="RNJ248" s="22"/>
      <c r="RNK248" s="22"/>
      <c r="RNL248" s="22"/>
      <c r="RNM248" s="22"/>
      <c r="RNN248" s="22"/>
      <c r="RNO248" s="22"/>
      <c r="RNP248" s="22"/>
      <c r="RNQ248" s="22"/>
      <c r="RNR248" s="22"/>
      <c r="RNS248" s="22"/>
      <c r="RNT248" s="22"/>
      <c r="RNU248" s="22"/>
      <c r="RNV248" s="22"/>
      <c r="RNW248" s="22"/>
      <c r="RNX248" s="22"/>
      <c r="RNY248" s="22"/>
      <c r="RNZ248" s="22"/>
      <c r="ROA248" s="22"/>
      <c r="ROB248" s="22"/>
      <c r="ROC248" s="22"/>
      <c r="ROD248" s="22"/>
      <c r="ROE248" s="22"/>
      <c r="ROF248" s="22"/>
      <c r="ROG248" s="22"/>
      <c r="ROH248" s="22"/>
      <c r="ROI248" s="22"/>
      <c r="ROJ248" s="22"/>
      <c r="ROK248" s="22"/>
      <c r="ROL248" s="22"/>
      <c r="ROM248" s="22"/>
      <c r="RON248" s="22"/>
      <c r="ROO248" s="22"/>
      <c r="ROP248" s="22"/>
      <c r="ROQ248" s="22"/>
      <c r="ROR248" s="22"/>
      <c r="ROS248" s="22"/>
      <c r="ROT248" s="22"/>
      <c r="ROU248" s="22"/>
      <c r="ROV248" s="22"/>
      <c r="ROW248" s="22"/>
      <c r="ROX248" s="22"/>
      <c r="ROY248" s="22"/>
      <c r="ROZ248" s="22"/>
      <c r="RPA248" s="22"/>
      <c r="RPB248" s="22"/>
      <c r="RPC248" s="22"/>
      <c r="RPD248" s="22"/>
      <c r="RPE248" s="22"/>
      <c r="RPF248" s="22"/>
      <c r="RPG248" s="22"/>
      <c r="RPH248" s="22"/>
      <c r="RPI248" s="22"/>
      <c r="RPJ248" s="22"/>
      <c r="RPK248" s="22"/>
      <c r="RPL248" s="22"/>
      <c r="RPM248" s="22"/>
      <c r="RPN248" s="22"/>
      <c r="RPO248" s="22"/>
      <c r="RPP248" s="22"/>
      <c r="RPQ248" s="22"/>
      <c r="RPR248" s="22"/>
      <c r="RPS248" s="22"/>
      <c r="RPT248" s="22"/>
      <c r="RPU248" s="22"/>
      <c r="RPV248" s="22"/>
      <c r="RPW248" s="22"/>
      <c r="RPX248" s="22"/>
      <c r="RPY248" s="22"/>
      <c r="RPZ248" s="22"/>
      <c r="RQA248" s="22"/>
      <c r="RQB248" s="22"/>
      <c r="RQC248" s="22"/>
      <c r="RQD248" s="22"/>
      <c r="RQE248" s="22"/>
      <c r="RQF248" s="22"/>
      <c r="RQG248" s="22"/>
      <c r="RQH248" s="22"/>
      <c r="RQI248" s="22"/>
      <c r="RQJ248" s="22"/>
      <c r="RQK248" s="22"/>
      <c r="RQL248" s="22"/>
      <c r="RQM248" s="22"/>
      <c r="RQN248" s="22"/>
      <c r="RQO248" s="22"/>
      <c r="RQP248" s="22"/>
      <c r="RQQ248" s="22"/>
      <c r="RQR248" s="22"/>
      <c r="RQS248" s="22"/>
      <c r="RQT248" s="22"/>
      <c r="RQU248" s="22"/>
      <c r="RQV248" s="22"/>
      <c r="RQW248" s="22"/>
      <c r="RQX248" s="22"/>
      <c r="RQY248" s="22"/>
      <c r="RQZ248" s="22"/>
      <c r="RRA248" s="22"/>
      <c r="RRB248" s="22"/>
      <c r="RRC248" s="22"/>
      <c r="RRD248" s="22"/>
      <c r="RRE248" s="22"/>
      <c r="RRF248" s="22"/>
      <c r="RRG248" s="22"/>
      <c r="RRH248" s="22"/>
      <c r="RRI248" s="22"/>
      <c r="RRJ248" s="22"/>
      <c r="RRK248" s="22"/>
      <c r="RRL248" s="22"/>
      <c r="RRM248" s="22"/>
      <c r="RRN248" s="22"/>
      <c r="RRO248" s="22"/>
      <c r="RRP248" s="22"/>
      <c r="RRQ248" s="22"/>
      <c r="RRR248" s="22"/>
      <c r="RRS248" s="22"/>
      <c r="RRT248" s="22"/>
      <c r="RRU248" s="22"/>
      <c r="RRV248" s="22"/>
      <c r="RRW248" s="22"/>
      <c r="RRX248" s="22"/>
      <c r="RRY248" s="22"/>
      <c r="RRZ248" s="22"/>
      <c r="RSA248" s="22"/>
      <c r="RSB248" s="22"/>
      <c r="RSC248" s="22"/>
      <c r="RSD248" s="22"/>
      <c r="RSE248" s="22"/>
      <c r="RSF248" s="22"/>
      <c r="RSG248" s="22"/>
      <c r="RSH248" s="22"/>
      <c r="RSI248" s="22"/>
      <c r="RSJ248" s="22"/>
      <c r="RSK248" s="22"/>
      <c r="RSL248" s="22"/>
      <c r="RSM248" s="22"/>
      <c r="RSN248" s="22"/>
      <c r="RSO248" s="22"/>
      <c r="RSP248" s="22"/>
      <c r="RSQ248" s="22"/>
      <c r="RSR248" s="22"/>
      <c r="RSS248" s="22"/>
      <c r="RST248" s="22"/>
      <c r="RSU248" s="22"/>
      <c r="RSV248" s="22"/>
      <c r="RSW248" s="22"/>
      <c r="RSX248" s="22"/>
      <c r="RSY248" s="22"/>
      <c r="RSZ248" s="22"/>
      <c r="RTA248" s="22"/>
      <c r="RTB248" s="22"/>
      <c r="RTC248" s="22"/>
      <c r="RTD248" s="22"/>
      <c r="RTE248" s="22"/>
      <c r="RTF248" s="22"/>
      <c r="RTG248" s="22"/>
      <c r="RTH248" s="22"/>
      <c r="RTI248" s="22"/>
      <c r="RTJ248" s="22"/>
      <c r="RTK248" s="22"/>
      <c r="RTL248" s="22"/>
      <c r="RTM248" s="22"/>
      <c r="RTN248" s="22"/>
      <c r="RTO248" s="22"/>
      <c r="RTP248" s="22"/>
      <c r="RTQ248" s="22"/>
      <c r="RTR248" s="22"/>
      <c r="RTS248" s="22"/>
      <c r="RTT248" s="22"/>
      <c r="RTU248" s="22"/>
      <c r="RTV248" s="22"/>
      <c r="RTW248" s="22"/>
      <c r="RTX248" s="22"/>
      <c r="RTY248" s="22"/>
      <c r="RTZ248" s="22"/>
      <c r="RUA248" s="22"/>
      <c r="RUB248" s="22"/>
      <c r="RUC248" s="22"/>
      <c r="RUD248" s="22"/>
      <c r="RUE248" s="22"/>
      <c r="RUF248" s="22"/>
      <c r="RUG248" s="22"/>
      <c r="RUH248" s="22"/>
      <c r="RUI248" s="22"/>
      <c r="RUJ248" s="22"/>
      <c r="RUK248" s="22"/>
      <c r="RUL248" s="22"/>
      <c r="RUM248" s="22"/>
      <c r="RUN248" s="22"/>
      <c r="RUO248" s="22"/>
      <c r="RUP248" s="22"/>
      <c r="RUQ248" s="22"/>
      <c r="RUR248" s="22"/>
      <c r="RUS248" s="22"/>
      <c r="RUT248" s="22"/>
      <c r="RUU248" s="22"/>
      <c r="RUV248" s="22"/>
      <c r="RUW248" s="22"/>
      <c r="RUX248" s="22"/>
      <c r="RUY248" s="22"/>
      <c r="RUZ248" s="22"/>
      <c r="RVA248" s="22"/>
      <c r="RVB248" s="22"/>
      <c r="RVC248" s="22"/>
      <c r="RVD248" s="22"/>
      <c r="RVE248" s="22"/>
      <c r="RVF248" s="22"/>
      <c r="RVG248" s="22"/>
      <c r="RVH248" s="22"/>
      <c r="RVI248" s="22"/>
      <c r="RVJ248" s="22"/>
      <c r="RVK248" s="22"/>
      <c r="RVL248" s="22"/>
      <c r="RVM248" s="22"/>
      <c r="RVN248" s="22"/>
      <c r="RVO248" s="22"/>
      <c r="RVP248" s="22"/>
      <c r="RVQ248" s="22"/>
      <c r="RVR248" s="22"/>
      <c r="RVS248" s="22"/>
      <c r="RVT248" s="22"/>
      <c r="RVU248" s="22"/>
      <c r="RVV248" s="22"/>
      <c r="RVW248" s="22"/>
      <c r="RVX248" s="22"/>
      <c r="RVY248" s="22"/>
      <c r="RVZ248" s="22"/>
      <c r="RWA248" s="22"/>
      <c r="RWB248" s="22"/>
      <c r="RWC248" s="22"/>
      <c r="RWD248" s="22"/>
      <c r="RWE248" s="22"/>
      <c r="RWF248" s="22"/>
      <c r="RWG248" s="22"/>
      <c r="RWH248" s="22"/>
      <c r="RWI248" s="22"/>
      <c r="RWJ248" s="22"/>
      <c r="RWK248" s="22"/>
      <c r="RWL248" s="22"/>
      <c r="RWM248" s="22"/>
      <c r="RWN248" s="22"/>
      <c r="RWO248" s="22"/>
      <c r="RWP248" s="22"/>
      <c r="RWQ248" s="22"/>
      <c r="RWR248" s="22"/>
      <c r="RWS248" s="22"/>
      <c r="RWT248" s="22"/>
      <c r="RWU248" s="22"/>
      <c r="RWV248" s="22"/>
      <c r="RWW248" s="22"/>
      <c r="RWX248" s="22"/>
      <c r="RWY248" s="22"/>
      <c r="RWZ248" s="22"/>
      <c r="RXA248" s="22"/>
      <c r="RXB248" s="22"/>
      <c r="RXC248" s="22"/>
      <c r="RXD248" s="22"/>
      <c r="RXE248" s="22"/>
      <c r="RXF248" s="22"/>
      <c r="RXG248" s="22"/>
      <c r="RXH248" s="22"/>
      <c r="RXI248" s="22"/>
      <c r="RXJ248" s="22"/>
      <c r="RXK248" s="22"/>
      <c r="RXL248" s="22"/>
      <c r="RXM248" s="22"/>
      <c r="RXN248" s="22"/>
      <c r="RXO248" s="22"/>
      <c r="RXP248" s="22"/>
      <c r="RXQ248" s="22"/>
      <c r="RXR248" s="22"/>
      <c r="RXS248" s="22"/>
      <c r="RXT248" s="22"/>
      <c r="RXU248" s="22"/>
      <c r="RXV248" s="22"/>
      <c r="RXW248" s="22"/>
      <c r="RXX248" s="22"/>
      <c r="RXY248" s="22"/>
      <c r="RXZ248" s="22"/>
      <c r="RYA248" s="22"/>
      <c r="RYB248" s="22"/>
      <c r="RYC248" s="22"/>
      <c r="RYD248" s="22"/>
      <c r="RYE248" s="22"/>
      <c r="RYF248" s="22"/>
      <c r="RYG248" s="22"/>
      <c r="RYH248" s="22"/>
      <c r="RYI248" s="22"/>
      <c r="RYJ248" s="22"/>
      <c r="RYK248" s="22"/>
      <c r="RYL248" s="22"/>
      <c r="RYM248" s="22"/>
      <c r="RYN248" s="22"/>
      <c r="RYO248" s="22"/>
      <c r="RYP248" s="22"/>
      <c r="RYQ248" s="22"/>
      <c r="RYR248" s="22"/>
      <c r="RYS248" s="22"/>
      <c r="RYT248" s="22"/>
      <c r="RYU248" s="22"/>
      <c r="RYV248" s="22"/>
      <c r="RYW248" s="22"/>
      <c r="RYX248" s="22"/>
      <c r="RYY248" s="22"/>
      <c r="RYZ248" s="22"/>
      <c r="RZA248" s="22"/>
      <c r="RZB248" s="22"/>
      <c r="RZC248" s="22"/>
      <c r="RZD248" s="22"/>
      <c r="RZE248" s="22"/>
      <c r="RZF248" s="22"/>
      <c r="RZG248" s="22"/>
      <c r="RZH248" s="22"/>
      <c r="RZI248" s="22"/>
      <c r="RZJ248" s="22"/>
      <c r="RZK248" s="22"/>
      <c r="RZL248" s="22"/>
      <c r="RZM248" s="22"/>
      <c r="RZN248" s="22"/>
      <c r="RZO248" s="22"/>
      <c r="RZP248" s="22"/>
      <c r="RZQ248" s="22"/>
      <c r="RZR248" s="22"/>
      <c r="RZS248" s="22"/>
      <c r="RZT248" s="22"/>
      <c r="RZU248" s="22"/>
      <c r="RZV248" s="22"/>
      <c r="RZW248" s="22"/>
      <c r="RZX248" s="22"/>
      <c r="RZY248" s="22"/>
      <c r="RZZ248" s="22"/>
      <c r="SAA248" s="22"/>
      <c r="SAB248" s="22"/>
      <c r="SAC248" s="22"/>
      <c r="SAD248" s="22"/>
      <c r="SAE248" s="22"/>
      <c r="SAF248" s="22"/>
      <c r="SAG248" s="22"/>
      <c r="SAH248" s="22"/>
      <c r="SAI248" s="22"/>
      <c r="SAJ248" s="22"/>
      <c r="SAK248" s="22"/>
      <c r="SAL248" s="22"/>
      <c r="SAM248" s="22"/>
      <c r="SAN248" s="22"/>
      <c r="SAO248" s="22"/>
      <c r="SAP248" s="22"/>
      <c r="SAQ248" s="22"/>
      <c r="SAR248" s="22"/>
      <c r="SAS248" s="22"/>
      <c r="SAT248" s="22"/>
      <c r="SAU248" s="22"/>
      <c r="SAV248" s="22"/>
      <c r="SAW248" s="22"/>
      <c r="SAX248" s="22"/>
      <c r="SAY248" s="22"/>
      <c r="SAZ248" s="22"/>
      <c r="SBA248" s="22"/>
      <c r="SBB248" s="22"/>
      <c r="SBC248" s="22"/>
      <c r="SBD248" s="22"/>
      <c r="SBE248" s="22"/>
      <c r="SBF248" s="22"/>
      <c r="SBG248" s="22"/>
      <c r="SBH248" s="22"/>
      <c r="SBI248" s="22"/>
      <c r="SBJ248" s="22"/>
      <c r="SBK248" s="22"/>
      <c r="SBL248" s="22"/>
      <c r="SBM248" s="22"/>
      <c r="SBN248" s="22"/>
      <c r="SBO248" s="22"/>
      <c r="SBP248" s="22"/>
      <c r="SBQ248" s="22"/>
      <c r="SBR248" s="22"/>
      <c r="SBS248" s="22"/>
      <c r="SBT248" s="22"/>
      <c r="SBU248" s="22"/>
      <c r="SBV248" s="22"/>
      <c r="SBW248" s="22"/>
      <c r="SBX248" s="22"/>
      <c r="SBY248" s="22"/>
      <c r="SBZ248" s="22"/>
      <c r="SCA248" s="22"/>
      <c r="SCB248" s="22"/>
      <c r="SCC248" s="22"/>
      <c r="SCD248" s="22"/>
      <c r="SCE248" s="22"/>
      <c r="SCF248" s="22"/>
      <c r="SCG248" s="22"/>
      <c r="SCH248" s="22"/>
      <c r="SCI248" s="22"/>
      <c r="SCJ248" s="22"/>
      <c r="SCK248" s="22"/>
      <c r="SCL248" s="22"/>
      <c r="SCM248" s="22"/>
      <c r="SCN248" s="22"/>
      <c r="SCO248" s="22"/>
      <c r="SCP248" s="22"/>
      <c r="SCQ248" s="22"/>
      <c r="SCR248" s="22"/>
      <c r="SCS248" s="22"/>
      <c r="SCT248" s="22"/>
      <c r="SCU248" s="22"/>
      <c r="SCV248" s="22"/>
      <c r="SCW248" s="22"/>
      <c r="SCX248" s="22"/>
      <c r="SCY248" s="22"/>
      <c r="SCZ248" s="22"/>
      <c r="SDA248" s="22"/>
      <c r="SDB248" s="22"/>
      <c r="SDC248" s="22"/>
      <c r="SDD248" s="22"/>
      <c r="SDE248" s="22"/>
      <c r="SDF248" s="22"/>
      <c r="SDG248" s="22"/>
      <c r="SDH248" s="22"/>
      <c r="SDI248" s="22"/>
      <c r="SDJ248" s="22"/>
      <c r="SDK248" s="22"/>
      <c r="SDL248" s="22"/>
      <c r="SDM248" s="22"/>
      <c r="SDN248" s="22"/>
      <c r="SDO248" s="22"/>
      <c r="SDP248" s="22"/>
      <c r="SDQ248" s="22"/>
      <c r="SDR248" s="22"/>
      <c r="SDS248" s="22"/>
      <c r="SDT248" s="22"/>
      <c r="SDU248" s="22"/>
      <c r="SDV248" s="22"/>
      <c r="SDW248" s="22"/>
      <c r="SDX248" s="22"/>
      <c r="SDY248" s="22"/>
      <c r="SDZ248" s="22"/>
      <c r="SEA248" s="22"/>
      <c r="SEB248" s="22"/>
      <c r="SEC248" s="22"/>
      <c r="SED248" s="22"/>
      <c r="SEE248" s="22"/>
      <c r="SEF248" s="22"/>
      <c r="SEG248" s="22"/>
      <c r="SEH248" s="22"/>
      <c r="SEI248" s="22"/>
      <c r="SEJ248" s="22"/>
      <c r="SEK248" s="22"/>
      <c r="SEL248" s="22"/>
      <c r="SEM248" s="22"/>
      <c r="SEN248" s="22"/>
      <c r="SEO248" s="22"/>
      <c r="SEP248" s="22"/>
      <c r="SEQ248" s="22"/>
      <c r="SER248" s="22"/>
      <c r="SES248" s="22"/>
      <c r="SET248" s="22"/>
      <c r="SEU248" s="22"/>
      <c r="SEV248" s="22"/>
      <c r="SEW248" s="22"/>
      <c r="SEX248" s="22"/>
      <c r="SEY248" s="22"/>
      <c r="SEZ248" s="22"/>
      <c r="SFA248" s="22"/>
      <c r="SFB248" s="22"/>
      <c r="SFC248" s="22"/>
      <c r="SFD248" s="22"/>
      <c r="SFE248" s="22"/>
      <c r="SFF248" s="22"/>
      <c r="SFG248" s="22"/>
      <c r="SFH248" s="22"/>
      <c r="SFI248" s="22"/>
      <c r="SFJ248" s="22"/>
      <c r="SFK248" s="22"/>
      <c r="SFL248" s="22"/>
      <c r="SFM248" s="22"/>
      <c r="SFN248" s="22"/>
      <c r="SFO248" s="22"/>
      <c r="SFP248" s="22"/>
      <c r="SFQ248" s="22"/>
      <c r="SFR248" s="22"/>
      <c r="SFS248" s="22"/>
      <c r="SFT248" s="22"/>
      <c r="SFU248" s="22"/>
      <c r="SFV248" s="22"/>
      <c r="SFW248" s="22"/>
      <c r="SFX248" s="22"/>
      <c r="SFY248" s="22"/>
      <c r="SFZ248" s="22"/>
      <c r="SGA248" s="22"/>
      <c r="SGB248" s="22"/>
      <c r="SGC248" s="22"/>
      <c r="SGD248" s="22"/>
      <c r="SGE248" s="22"/>
      <c r="SGF248" s="22"/>
      <c r="SGG248" s="22"/>
      <c r="SGH248" s="22"/>
      <c r="SGI248" s="22"/>
      <c r="SGJ248" s="22"/>
      <c r="SGK248" s="22"/>
      <c r="SGL248" s="22"/>
      <c r="SGM248" s="22"/>
      <c r="SGN248" s="22"/>
      <c r="SGO248" s="22"/>
      <c r="SGP248" s="22"/>
      <c r="SGQ248" s="22"/>
      <c r="SGR248" s="22"/>
      <c r="SGS248" s="22"/>
      <c r="SGT248" s="22"/>
      <c r="SGU248" s="22"/>
      <c r="SGV248" s="22"/>
      <c r="SGW248" s="22"/>
      <c r="SGX248" s="22"/>
      <c r="SGY248" s="22"/>
      <c r="SGZ248" s="22"/>
      <c r="SHA248" s="22"/>
      <c r="SHB248" s="22"/>
      <c r="SHC248" s="22"/>
      <c r="SHD248" s="22"/>
      <c r="SHE248" s="22"/>
      <c r="SHF248" s="22"/>
      <c r="SHG248" s="22"/>
      <c r="SHH248" s="22"/>
      <c r="SHI248" s="22"/>
      <c r="SHJ248" s="22"/>
      <c r="SHK248" s="22"/>
      <c r="SHL248" s="22"/>
      <c r="SHM248" s="22"/>
      <c r="SHN248" s="22"/>
      <c r="SHO248" s="22"/>
      <c r="SHP248" s="22"/>
      <c r="SHQ248" s="22"/>
      <c r="SHR248" s="22"/>
      <c r="SHS248" s="22"/>
      <c r="SHT248" s="22"/>
      <c r="SHU248" s="22"/>
      <c r="SHV248" s="22"/>
      <c r="SHW248" s="22"/>
      <c r="SHX248" s="22"/>
      <c r="SHY248" s="22"/>
      <c r="SHZ248" s="22"/>
      <c r="SIA248" s="22"/>
      <c r="SIB248" s="22"/>
      <c r="SIC248" s="22"/>
      <c r="SID248" s="22"/>
      <c r="SIE248" s="22"/>
      <c r="SIF248" s="22"/>
      <c r="SIG248" s="22"/>
      <c r="SIH248" s="22"/>
      <c r="SII248" s="22"/>
      <c r="SIJ248" s="22"/>
      <c r="SIK248" s="22"/>
      <c r="SIL248" s="22"/>
      <c r="SIM248" s="22"/>
      <c r="SIN248" s="22"/>
      <c r="SIO248" s="22"/>
      <c r="SIP248" s="22"/>
      <c r="SIQ248" s="22"/>
      <c r="SIR248" s="22"/>
      <c r="SIS248" s="22"/>
      <c r="SIT248" s="22"/>
      <c r="SIU248" s="22"/>
      <c r="SIV248" s="22"/>
      <c r="SIW248" s="22"/>
      <c r="SIX248" s="22"/>
      <c r="SIY248" s="22"/>
      <c r="SIZ248" s="22"/>
      <c r="SJA248" s="22"/>
      <c r="SJB248" s="22"/>
      <c r="SJC248" s="22"/>
      <c r="SJD248" s="22"/>
      <c r="SJE248" s="22"/>
      <c r="SJF248" s="22"/>
      <c r="SJG248" s="22"/>
      <c r="SJH248" s="22"/>
      <c r="SJI248" s="22"/>
      <c r="SJJ248" s="22"/>
      <c r="SJK248" s="22"/>
      <c r="SJL248" s="22"/>
      <c r="SJM248" s="22"/>
      <c r="SJN248" s="22"/>
      <c r="SJO248" s="22"/>
      <c r="SJP248" s="22"/>
      <c r="SJQ248" s="22"/>
      <c r="SJR248" s="22"/>
      <c r="SJS248" s="22"/>
      <c r="SJT248" s="22"/>
      <c r="SJU248" s="22"/>
      <c r="SJV248" s="22"/>
      <c r="SJW248" s="22"/>
      <c r="SJX248" s="22"/>
      <c r="SJY248" s="22"/>
      <c r="SJZ248" s="22"/>
      <c r="SKA248" s="22"/>
      <c r="SKB248" s="22"/>
      <c r="SKC248" s="22"/>
      <c r="SKD248" s="22"/>
      <c r="SKE248" s="22"/>
      <c r="SKF248" s="22"/>
      <c r="SKG248" s="22"/>
      <c r="SKH248" s="22"/>
      <c r="SKI248" s="22"/>
      <c r="SKJ248" s="22"/>
      <c r="SKK248" s="22"/>
      <c r="SKL248" s="22"/>
      <c r="SKM248" s="22"/>
      <c r="SKN248" s="22"/>
      <c r="SKO248" s="22"/>
      <c r="SKP248" s="22"/>
      <c r="SKQ248" s="22"/>
      <c r="SKR248" s="22"/>
      <c r="SKS248" s="22"/>
      <c r="SKT248" s="22"/>
      <c r="SKU248" s="22"/>
      <c r="SKV248" s="22"/>
      <c r="SKW248" s="22"/>
      <c r="SKX248" s="22"/>
      <c r="SKY248" s="22"/>
      <c r="SKZ248" s="22"/>
      <c r="SLA248" s="22"/>
      <c r="SLB248" s="22"/>
      <c r="SLC248" s="22"/>
      <c r="SLD248" s="22"/>
      <c r="SLE248" s="22"/>
      <c r="SLF248" s="22"/>
      <c r="SLG248" s="22"/>
      <c r="SLH248" s="22"/>
      <c r="SLI248" s="22"/>
      <c r="SLJ248" s="22"/>
      <c r="SLK248" s="22"/>
      <c r="SLL248" s="22"/>
      <c r="SLM248" s="22"/>
      <c r="SLN248" s="22"/>
      <c r="SLO248" s="22"/>
      <c r="SLP248" s="22"/>
      <c r="SLQ248" s="22"/>
      <c r="SLR248" s="22"/>
      <c r="SLS248" s="22"/>
      <c r="SLT248" s="22"/>
      <c r="SLU248" s="22"/>
      <c r="SLV248" s="22"/>
      <c r="SLW248" s="22"/>
      <c r="SLX248" s="22"/>
      <c r="SLY248" s="22"/>
      <c r="SLZ248" s="22"/>
      <c r="SMA248" s="22"/>
      <c r="SMB248" s="22"/>
      <c r="SMC248" s="22"/>
      <c r="SMD248" s="22"/>
      <c r="SME248" s="22"/>
      <c r="SMF248" s="22"/>
      <c r="SMG248" s="22"/>
      <c r="SMH248" s="22"/>
      <c r="SMI248" s="22"/>
      <c r="SMJ248" s="22"/>
      <c r="SMK248" s="22"/>
      <c r="SML248" s="22"/>
      <c r="SMM248" s="22"/>
      <c r="SMN248" s="22"/>
      <c r="SMO248" s="22"/>
      <c r="SMP248" s="22"/>
      <c r="SMQ248" s="22"/>
      <c r="SMR248" s="22"/>
      <c r="SMS248" s="22"/>
      <c r="SMT248" s="22"/>
      <c r="SMU248" s="22"/>
      <c r="SMV248" s="22"/>
      <c r="SMW248" s="22"/>
      <c r="SMX248" s="22"/>
      <c r="SMY248" s="22"/>
      <c r="SMZ248" s="22"/>
      <c r="SNA248" s="22"/>
      <c r="SNB248" s="22"/>
      <c r="SNC248" s="22"/>
      <c r="SND248" s="22"/>
      <c r="SNE248" s="22"/>
      <c r="SNF248" s="22"/>
      <c r="SNG248" s="22"/>
      <c r="SNH248" s="22"/>
      <c r="SNI248" s="22"/>
      <c r="SNJ248" s="22"/>
      <c r="SNK248" s="22"/>
      <c r="SNL248" s="22"/>
      <c r="SNM248" s="22"/>
      <c r="SNN248" s="22"/>
      <c r="SNO248" s="22"/>
      <c r="SNP248" s="22"/>
      <c r="SNQ248" s="22"/>
      <c r="SNR248" s="22"/>
      <c r="SNS248" s="22"/>
      <c r="SNT248" s="22"/>
      <c r="SNU248" s="22"/>
      <c r="SNV248" s="22"/>
      <c r="SNW248" s="22"/>
      <c r="SNX248" s="22"/>
      <c r="SNY248" s="22"/>
      <c r="SNZ248" s="22"/>
      <c r="SOA248" s="22"/>
      <c r="SOB248" s="22"/>
      <c r="SOC248" s="22"/>
      <c r="SOD248" s="22"/>
      <c r="SOE248" s="22"/>
      <c r="SOF248" s="22"/>
      <c r="SOG248" s="22"/>
      <c r="SOH248" s="22"/>
      <c r="SOI248" s="22"/>
      <c r="SOJ248" s="22"/>
      <c r="SOK248" s="22"/>
      <c r="SOL248" s="22"/>
      <c r="SOM248" s="22"/>
      <c r="SON248" s="22"/>
      <c r="SOO248" s="22"/>
      <c r="SOP248" s="22"/>
      <c r="SOQ248" s="22"/>
      <c r="SOR248" s="22"/>
      <c r="SOS248" s="22"/>
      <c r="SOT248" s="22"/>
      <c r="SOU248" s="22"/>
      <c r="SOV248" s="22"/>
      <c r="SOW248" s="22"/>
      <c r="SOX248" s="22"/>
      <c r="SOY248" s="22"/>
      <c r="SOZ248" s="22"/>
      <c r="SPA248" s="22"/>
      <c r="SPB248" s="22"/>
      <c r="SPC248" s="22"/>
      <c r="SPD248" s="22"/>
      <c r="SPE248" s="22"/>
      <c r="SPF248" s="22"/>
      <c r="SPG248" s="22"/>
      <c r="SPH248" s="22"/>
      <c r="SPI248" s="22"/>
      <c r="SPJ248" s="22"/>
      <c r="SPK248" s="22"/>
      <c r="SPL248" s="22"/>
      <c r="SPM248" s="22"/>
      <c r="SPN248" s="22"/>
      <c r="SPO248" s="22"/>
      <c r="SPP248" s="22"/>
      <c r="SPQ248" s="22"/>
      <c r="SPR248" s="22"/>
      <c r="SPS248" s="22"/>
      <c r="SPT248" s="22"/>
      <c r="SPU248" s="22"/>
      <c r="SPV248" s="22"/>
      <c r="SPW248" s="22"/>
      <c r="SPX248" s="22"/>
      <c r="SPY248" s="22"/>
      <c r="SPZ248" s="22"/>
      <c r="SQA248" s="22"/>
      <c r="SQB248" s="22"/>
      <c r="SQC248" s="22"/>
      <c r="SQD248" s="22"/>
      <c r="SQE248" s="22"/>
      <c r="SQF248" s="22"/>
      <c r="SQG248" s="22"/>
      <c r="SQH248" s="22"/>
      <c r="SQI248" s="22"/>
      <c r="SQJ248" s="22"/>
      <c r="SQK248" s="22"/>
      <c r="SQL248" s="22"/>
      <c r="SQM248" s="22"/>
      <c r="SQN248" s="22"/>
      <c r="SQO248" s="22"/>
      <c r="SQP248" s="22"/>
      <c r="SQQ248" s="22"/>
      <c r="SQR248" s="22"/>
      <c r="SQS248" s="22"/>
      <c r="SQT248" s="22"/>
      <c r="SQU248" s="22"/>
      <c r="SQV248" s="22"/>
      <c r="SQW248" s="22"/>
      <c r="SQX248" s="22"/>
      <c r="SQY248" s="22"/>
      <c r="SQZ248" s="22"/>
      <c r="SRA248" s="22"/>
      <c r="SRB248" s="22"/>
      <c r="SRC248" s="22"/>
      <c r="SRD248" s="22"/>
      <c r="SRE248" s="22"/>
      <c r="SRF248" s="22"/>
      <c r="SRG248" s="22"/>
      <c r="SRH248" s="22"/>
      <c r="SRI248" s="22"/>
      <c r="SRJ248" s="22"/>
      <c r="SRK248" s="22"/>
      <c r="SRL248" s="22"/>
      <c r="SRM248" s="22"/>
      <c r="SRN248" s="22"/>
      <c r="SRO248" s="22"/>
      <c r="SRP248" s="22"/>
      <c r="SRQ248" s="22"/>
      <c r="SRR248" s="22"/>
      <c r="SRS248" s="22"/>
      <c r="SRT248" s="22"/>
      <c r="SRU248" s="22"/>
      <c r="SRV248" s="22"/>
      <c r="SRW248" s="22"/>
      <c r="SRX248" s="22"/>
      <c r="SRY248" s="22"/>
      <c r="SRZ248" s="22"/>
      <c r="SSA248" s="22"/>
      <c r="SSB248" s="22"/>
      <c r="SSC248" s="22"/>
      <c r="SSD248" s="22"/>
      <c r="SSE248" s="22"/>
      <c r="SSF248" s="22"/>
      <c r="SSG248" s="22"/>
      <c r="SSH248" s="22"/>
      <c r="SSI248" s="22"/>
      <c r="SSJ248" s="22"/>
      <c r="SSK248" s="22"/>
      <c r="SSL248" s="22"/>
      <c r="SSM248" s="22"/>
      <c r="SSN248" s="22"/>
      <c r="SSO248" s="22"/>
      <c r="SSP248" s="22"/>
      <c r="SSQ248" s="22"/>
      <c r="SSR248" s="22"/>
      <c r="SSS248" s="22"/>
      <c r="SST248" s="22"/>
      <c r="SSU248" s="22"/>
      <c r="SSV248" s="22"/>
      <c r="SSW248" s="22"/>
      <c r="SSX248" s="22"/>
      <c r="SSY248" s="22"/>
      <c r="SSZ248" s="22"/>
      <c r="STA248" s="22"/>
      <c r="STB248" s="22"/>
      <c r="STC248" s="22"/>
      <c r="STD248" s="22"/>
      <c r="STE248" s="22"/>
      <c r="STF248" s="22"/>
      <c r="STG248" s="22"/>
      <c r="STH248" s="22"/>
      <c r="STI248" s="22"/>
      <c r="STJ248" s="22"/>
      <c r="STK248" s="22"/>
      <c r="STL248" s="22"/>
      <c r="STM248" s="22"/>
      <c r="STN248" s="22"/>
      <c r="STO248" s="22"/>
      <c r="STP248" s="22"/>
      <c r="STQ248" s="22"/>
      <c r="STR248" s="22"/>
      <c r="STS248" s="22"/>
      <c r="STT248" s="22"/>
      <c r="STU248" s="22"/>
      <c r="STV248" s="22"/>
      <c r="STW248" s="22"/>
      <c r="STX248" s="22"/>
      <c r="STY248" s="22"/>
      <c r="STZ248" s="22"/>
      <c r="SUA248" s="22"/>
      <c r="SUB248" s="22"/>
      <c r="SUC248" s="22"/>
      <c r="SUD248" s="22"/>
      <c r="SUE248" s="22"/>
      <c r="SUF248" s="22"/>
      <c r="SUG248" s="22"/>
      <c r="SUH248" s="22"/>
      <c r="SUI248" s="22"/>
      <c r="SUJ248" s="22"/>
      <c r="SUK248" s="22"/>
      <c r="SUL248" s="22"/>
      <c r="SUM248" s="22"/>
      <c r="SUN248" s="22"/>
      <c r="SUO248" s="22"/>
      <c r="SUP248" s="22"/>
      <c r="SUQ248" s="22"/>
      <c r="SUR248" s="22"/>
      <c r="SUS248" s="22"/>
      <c r="SUT248" s="22"/>
      <c r="SUU248" s="22"/>
      <c r="SUV248" s="22"/>
      <c r="SUW248" s="22"/>
      <c r="SUX248" s="22"/>
      <c r="SUY248" s="22"/>
      <c r="SUZ248" s="22"/>
      <c r="SVA248" s="22"/>
      <c r="SVB248" s="22"/>
      <c r="SVC248" s="22"/>
      <c r="SVD248" s="22"/>
      <c r="SVE248" s="22"/>
      <c r="SVF248" s="22"/>
      <c r="SVG248" s="22"/>
      <c r="SVH248" s="22"/>
      <c r="SVI248" s="22"/>
      <c r="SVJ248" s="22"/>
      <c r="SVK248" s="22"/>
      <c r="SVL248" s="22"/>
      <c r="SVM248" s="22"/>
      <c r="SVN248" s="22"/>
      <c r="SVO248" s="22"/>
      <c r="SVP248" s="22"/>
      <c r="SVQ248" s="22"/>
      <c r="SVR248" s="22"/>
      <c r="SVS248" s="22"/>
      <c r="SVT248" s="22"/>
      <c r="SVU248" s="22"/>
      <c r="SVV248" s="22"/>
      <c r="SVW248" s="22"/>
      <c r="SVX248" s="22"/>
      <c r="SVY248" s="22"/>
      <c r="SVZ248" s="22"/>
      <c r="SWA248" s="22"/>
      <c r="SWB248" s="22"/>
      <c r="SWC248" s="22"/>
      <c r="SWD248" s="22"/>
      <c r="SWE248" s="22"/>
      <c r="SWF248" s="22"/>
      <c r="SWG248" s="22"/>
      <c r="SWH248" s="22"/>
      <c r="SWI248" s="22"/>
      <c r="SWJ248" s="22"/>
      <c r="SWK248" s="22"/>
      <c r="SWL248" s="22"/>
      <c r="SWM248" s="22"/>
      <c r="SWN248" s="22"/>
      <c r="SWO248" s="22"/>
      <c r="SWP248" s="22"/>
      <c r="SWQ248" s="22"/>
      <c r="SWR248" s="22"/>
      <c r="SWS248" s="22"/>
      <c r="SWT248" s="22"/>
      <c r="SWU248" s="22"/>
      <c r="SWV248" s="22"/>
      <c r="SWW248" s="22"/>
      <c r="SWX248" s="22"/>
      <c r="SWY248" s="22"/>
      <c r="SWZ248" s="22"/>
      <c r="SXA248" s="22"/>
      <c r="SXB248" s="22"/>
      <c r="SXC248" s="22"/>
      <c r="SXD248" s="22"/>
      <c r="SXE248" s="22"/>
      <c r="SXF248" s="22"/>
      <c r="SXG248" s="22"/>
      <c r="SXH248" s="22"/>
      <c r="SXI248" s="22"/>
      <c r="SXJ248" s="22"/>
      <c r="SXK248" s="22"/>
      <c r="SXL248" s="22"/>
      <c r="SXM248" s="22"/>
      <c r="SXN248" s="22"/>
      <c r="SXO248" s="22"/>
      <c r="SXP248" s="22"/>
      <c r="SXQ248" s="22"/>
      <c r="SXR248" s="22"/>
      <c r="SXS248" s="22"/>
      <c r="SXT248" s="22"/>
      <c r="SXU248" s="22"/>
      <c r="SXV248" s="22"/>
      <c r="SXW248" s="22"/>
      <c r="SXX248" s="22"/>
      <c r="SXY248" s="22"/>
      <c r="SXZ248" s="22"/>
      <c r="SYA248" s="22"/>
      <c r="SYB248" s="22"/>
      <c r="SYC248" s="22"/>
      <c r="SYD248" s="22"/>
      <c r="SYE248" s="22"/>
      <c r="SYF248" s="22"/>
      <c r="SYG248" s="22"/>
      <c r="SYH248" s="22"/>
      <c r="SYI248" s="22"/>
      <c r="SYJ248" s="22"/>
      <c r="SYK248" s="22"/>
      <c r="SYL248" s="22"/>
      <c r="SYM248" s="22"/>
      <c r="SYN248" s="22"/>
      <c r="SYO248" s="22"/>
      <c r="SYP248" s="22"/>
      <c r="SYQ248" s="22"/>
      <c r="SYR248" s="22"/>
      <c r="SYS248" s="22"/>
      <c r="SYT248" s="22"/>
      <c r="SYU248" s="22"/>
      <c r="SYV248" s="22"/>
      <c r="SYW248" s="22"/>
      <c r="SYX248" s="22"/>
      <c r="SYY248" s="22"/>
      <c r="SYZ248" s="22"/>
      <c r="SZA248" s="22"/>
      <c r="SZB248" s="22"/>
      <c r="SZC248" s="22"/>
      <c r="SZD248" s="22"/>
      <c r="SZE248" s="22"/>
      <c r="SZF248" s="22"/>
      <c r="SZG248" s="22"/>
      <c r="SZH248" s="22"/>
      <c r="SZI248" s="22"/>
      <c r="SZJ248" s="22"/>
      <c r="SZK248" s="22"/>
      <c r="SZL248" s="22"/>
      <c r="SZM248" s="22"/>
      <c r="SZN248" s="22"/>
      <c r="SZO248" s="22"/>
      <c r="SZP248" s="22"/>
      <c r="SZQ248" s="22"/>
      <c r="SZR248" s="22"/>
      <c r="SZS248" s="22"/>
      <c r="SZT248" s="22"/>
      <c r="SZU248" s="22"/>
      <c r="SZV248" s="22"/>
      <c r="SZW248" s="22"/>
      <c r="SZX248" s="22"/>
      <c r="SZY248" s="22"/>
      <c r="SZZ248" s="22"/>
      <c r="TAA248" s="22"/>
      <c r="TAB248" s="22"/>
      <c r="TAC248" s="22"/>
      <c r="TAD248" s="22"/>
      <c r="TAE248" s="22"/>
      <c r="TAF248" s="22"/>
      <c r="TAG248" s="22"/>
      <c r="TAH248" s="22"/>
      <c r="TAI248" s="22"/>
      <c r="TAJ248" s="22"/>
      <c r="TAK248" s="22"/>
      <c r="TAL248" s="22"/>
      <c r="TAM248" s="22"/>
      <c r="TAN248" s="22"/>
      <c r="TAO248" s="22"/>
      <c r="TAP248" s="22"/>
      <c r="TAQ248" s="22"/>
      <c r="TAR248" s="22"/>
      <c r="TAS248" s="22"/>
      <c r="TAT248" s="22"/>
      <c r="TAU248" s="22"/>
      <c r="TAV248" s="22"/>
      <c r="TAW248" s="22"/>
      <c r="TAX248" s="22"/>
      <c r="TAY248" s="22"/>
      <c r="TAZ248" s="22"/>
      <c r="TBA248" s="22"/>
      <c r="TBB248" s="22"/>
      <c r="TBC248" s="22"/>
      <c r="TBD248" s="22"/>
      <c r="TBE248" s="22"/>
      <c r="TBF248" s="22"/>
      <c r="TBG248" s="22"/>
      <c r="TBH248" s="22"/>
      <c r="TBI248" s="22"/>
      <c r="TBJ248" s="22"/>
      <c r="TBK248" s="22"/>
      <c r="TBL248" s="22"/>
      <c r="TBM248" s="22"/>
      <c r="TBN248" s="22"/>
      <c r="TBO248" s="22"/>
      <c r="TBP248" s="22"/>
      <c r="TBQ248" s="22"/>
      <c r="TBR248" s="22"/>
      <c r="TBS248" s="22"/>
      <c r="TBT248" s="22"/>
      <c r="TBU248" s="22"/>
      <c r="TBV248" s="22"/>
      <c r="TBW248" s="22"/>
      <c r="TBX248" s="22"/>
      <c r="TBY248" s="22"/>
      <c r="TBZ248" s="22"/>
      <c r="TCA248" s="22"/>
      <c r="TCB248" s="22"/>
      <c r="TCC248" s="22"/>
      <c r="TCD248" s="22"/>
      <c r="TCE248" s="22"/>
      <c r="TCF248" s="22"/>
      <c r="TCG248" s="22"/>
      <c r="TCH248" s="22"/>
      <c r="TCI248" s="22"/>
      <c r="TCJ248" s="22"/>
      <c r="TCK248" s="22"/>
      <c r="TCL248" s="22"/>
      <c r="TCM248" s="22"/>
      <c r="TCN248" s="22"/>
      <c r="TCO248" s="22"/>
      <c r="TCP248" s="22"/>
      <c r="TCQ248" s="22"/>
      <c r="TCR248" s="22"/>
      <c r="TCS248" s="22"/>
      <c r="TCT248" s="22"/>
      <c r="TCU248" s="22"/>
      <c r="TCV248" s="22"/>
      <c r="TCW248" s="22"/>
      <c r="TCX248" s="22"/>
      <c r="TCY248" s="22"/>
      <c r="TCZ248" s="22"/>
      <c r="TDA248" s="22"/>
      <c r="TDB248" s="22"/>
      <c r="TDC248" s="22"/>
      <c r="TDD248" s="22"/>
      <c r="TDE248" s="22"/>
      <c r="TDF248" s="22"/>
      <c r="TDG248" s="22"/>
      <c r="TDH248" s="22"/>
      <c r="TDI248" s="22"/>
      <c r="TDJ248" s="22"/>
      <c r="TDK248" s="22"/>
      <c r="TDL248" s="22"/>
      <c r="TDM248" s="22"/>
      <c r="TDN248" s="22"/>
      <c r="TDO248" s="22"/>
      <c r="TDP248" s="22"/>
      <c r="TDQ248" s="22"/>
      <c r="TDR248" s="22"/>
      <c r="TDS248" s="22"/>
      <c r="TDT248" s="22"/>
      <c r="TDU248" s="22"/>
      <c r="TDV248" s="22"/>
      <c r="TDW248" s="22"/>
      <c r="TDX248" s="22"/>
      <c r="TDY248" s="22"/>
      <c r="TDZ248" s="22"/>
      <c r="TEA248" s="22"/>
      <c r="TEB248" s="22"/>
      <c r="TEC248" s="22"/>
      <c r="TED248" s="22"/>
      <c r="TEE248" s="22"/>
      <c r="TEF248" s="22"/>
      <c r="TEG248" s="22"/>
      <c r="TEH248" s="22"/>
      <c r="TEI248" s="22"/>
      <c r="TEJ248" s="22"/>
      <c r="TEK248" s="22"/>
      <c r="TEL248" s="22"/>
      <c r="TEM248" s="22"/>
      <c r="TEN248" s="22"/>
      <c r="TEO248" s="22"/>
      <c r="TEP248" s="22"/>
      <c r="TEQ248" s="22"/>
      <c r="TER248" s="22"/>
      <c r="TES248" s="22"/>
      <c r="TET248" s="22"/>
      <c r="TEU248" s="22"/>
      <c r="TEV248" s="22"/>
      <c r="TEW248" s="22"/>
      <c r="TEX248" s="22"/>
      <c r="TEY248" s="22"/>
      <c r="TEZ248" s="22"/>
      <c r="TFA248" s="22"/>
      <c r="TFB248" s="22"/>
      <c r="TFC248" s="22"/>
      <c r="TFD248" s="22"/>
      <c r="TFE248" s="22"/>
      <c r="TFF248" s="22"/>
      <c r="TFG248" s="22"/>
      <c r="TFH248" s="22"/>
      <c r="TFI248" s="22"/>
      <c r="TFJ248" s="22"/>
      <c r="TFK248" s="22"/>
      <c r="TFL248" s="22"/>
      <c r="TFM248" s="22"/>
      <c r="TFN248" s="22"/>
      <c r="TFO248" s="22"/>
      <c r="TFP248" s="22"/>
      <c r="TFQ248" s="22"/>
      <c r="TFR248" s="22"/>
      <c r="TFS248" s="22"/>
      <c r="TFT248" s="22"/>
      <c r="TFU248" s="22"/>
      <c r="TFV248" s="22"/>
      <c r="TFW248" s="22"/>
      <c r="TFX248" s="22"/>
      <c r="TFY248" s="22"/>
      <c r="TFZ248" s="22"/>
      <c r="TGA248" s="22"/>
      <c r="TGB248" s="22"/>
      <c r="TGC248" s="22"/>
      <c r="TGD248" s="22"/>
      <c r="TGE248" s="22"/>
      <c r="TGF248" s="22"/>
      <c r="TGG248" s="22"/>
      <c r="TGH248" s="22"/>
      <c r="TGI248" s="22"/>
      <c r="TGJ248" s="22"/>
      <c r="TGK248" s="22"/>
      <c r="TGL248" s="22"/>
      <c r="TGM248" s="22"/>
      <c r="TGN248" s="22"/>
      <c r="TGO248" s="22"/>
      <c r="TGP248" s="22"/>
      <c r="TGQ248" s="22"/>
      <c r="TGR248" s="22"/>
      <c r="TGS248" s="22"/>
      <c r="TGT248" s="22"/>
      <c r="TGU248" s="22"/>
      <c r="TGV248" s="22"/>
      <c r="TGW248" s="22"/>
      <c r="TGX248" s="22"/>
      <c r="TGY248" s="22"/>
      <c r="TGZ248" s="22"/>
      <c r="THA248" s="22"/>
      <c r="THB248" s="22"/>
      <c r="THC248" s="22"/>
      <c r="THD248" s="22"/>
      <c r="THE248" s="22"/>
      <c r="THF248" s="22"/>
      <c r="THG248" s="22"/>
      <c r="THH248" s="22"/>
      <c r="THI248" s="22"/>
      <c r="THJ248" s="22"/>
      <c r="THK248" s="22"/>
      <c r="THL248" s="22"/>
      <c r="THM248" s="22"/>
      <c r="THN248" s="22"/>
      <c r="THO248" s="22"/>
      <c r="THP248" s="22"/>
      <c r="THQ248" s="22"/>
      <c r="THR248" s="22"/>
      <c r="THS248" s="22"/>
      <c r="THT248" s="22"/>
      <c r="THU248" s="22"/>
      <c r="THV248" s="22"/>
      <c r="THW248" s="22"/>
      <c r="THX248" s="22"/>
      <c r="THY248" s="22"/>
      <c r="THZ248" s="22"/>
      <c r="TIA248" s="22"/>
      <c r="TIB248" s="22"/>
      <c r="TIC248" s="22"/>
      <c r="TID248" s="22"/>
      <c r="TIE248" s="22"/>
      <c r="TIF248" s="22"/>
      <c r="TIG248" s="22"/>
      <c r="TIH248" s="22"/>
      <c r="TII248" s="22"/>
      <c r="TIJ248" s="22"/>
      <c r="TIK248" s="22"/>
      <c r="TIL248" s="22"/>
      <c r="TIM248" s="22"/>
      <c r="TIN248" s="22"/>
      <c r="TIO248" s="22"/>
      <c r="TIP248" s="22"/>
      <c r="TIQ248" s="22"/>
      <c r="TIR248" s="22"/>
      <c r="TIS248" s="22"/>
      <c r="TIT248" s="22"/>
      <c r="TIU248" s="22"/>
      <c r="TIV248" s="22"/>
      <c r="TIW248" s="22"/>
      <c r="TIX248" s="22"/>
      <c r="TIY248" s="22"/>
      <c r="TIZ248" s="22"/>
      <c r="TJA248" s="22"/>
      <c r="TJB248" s="22"/>
      <c r="TJC248" s="22"/>
      <c r="TJD248" s="22"/>
      <c r="TJE248" s="22"/>
      <c r="TJF248" s="22"/>
      <c r="TJG248" s="22"/>
      <c r="TJH248" s="22"/>
      <c r="TJI248" s="22"/>
      <c r="TJJ248" s="22"/>
      <c r="TJK248" s="22"/>
      <c r="TJL248" s="22"/>
      <c r="TJM248" s="22"/>
      <c r="TJN248" s="22"/>
      <c r="TJO248" s="22"/>
      <c r="TJP248" s="22"/>
      <c r="TJQ248" s="22"/>
      <c r="TJR248" s="22"/>
      <c r="TJS248" s="22"/>
      <c r="TJT248" s="22"/>
      <c r="TJU248" s="22"/>
      <c r="TJV248" s="22"/>
      <c r="TJW248" s="22"/>
      <c r="TJX248" s="22"/>
      <c r="TJY248" s="22"/>
      <c r="TJZ248" s="22"/>
      <c r="TKA248" s="22"/>
      <c r="TKB248" s="22"/>
      <c r="TKC248" s="22"/>
      <c r="TKD248" s="22"/>
      <c r="TKE248" s="22"/>
      <c r="TKF248" s="22"/>
      <c r="TKG248" s="22"/>
      <c r="TKH248" s="22"/>
      <c r="TKI248" s="22"/>
      <c r="TKJ248" s="22"/>
      <c r="TKK248" s="22"/>
      <c r="TKL248" s="22"/>
      <c r="TKM248" s="22"/>
      <c r="TKN248" s="22"/>
      <c r="TKO248" s="22"/>
      <c r="TKP248" s="22"/>
      <c r="TKQ248" s="22"/>
      <c r="TKR248" s="22"/>
      <c r="TKS248" s="22"/>
      <c r="TKT248" s="22"/>
      <c r="TKU248" s="22"/>
      <c r="TKV248" s="22"/>
      <c r="TKW248" s="22"/>
      <c r="TKX248" s="22"/>
      <c r="TKY248" s="22"/>
      <c r="TKZ248" s="22"/>
      <c r="TLA248" s="22"/>
      <c r="TLB248" s="22"/>
      <c r="TLC248" s="22"/>
      <c r="TLD248" s="22"/>
      <c r="TLE248" s="22"/>
      <c r="TLF248" s="22"/>
      <c r="TLG248" s="22"/>
      <c r="TLH248" s="22"/>
      <c r="TLI248" s="22"/>
      <c r="TLJ248" s="22"/>
      <c r="TLK248" s="22"/>
      <c r="TLL248" s="22"/>
      <c r="TLM248" s="22"/>
      <c r="TLN248" s="22"/>
      <c r="TLO248" s="22"/>
      <c r="TLP248" s="22"/>
      <c r="TLQ248" s="22"/>
      <c r="TLR248" s="22"/>
      <c r="TLS248" s="22"/>
      <c r="TLT248" s="22"/>
      <c r="TLU248" s="22"/>
      <c r="TLV248" s="22"/>
      <c r="TLW248" s="22"/>
      <c r="TLX248" s="22"/>
      <c r="TLY248" s="22"/>
      <c r="TLZ248" s="22"/>
      <c r="TMA248" s="22"/>
      <c r="TMB248" s="22"/>
      <c r="TMC248" s="22"/>
      <c r="TMD248" s="22"/>
      <c r="TME248" s="22"/>
      <c r="TMF248" s="22"/>
      <c r="TMG248" s="22"/>
      <c r="TMH248" s="22"/>
      <c r="TMI248" s="22"/>
      <c r="TMJ248" s="22"/>
      <c r="TMK248" s="22"/>
      <c r="TML248" s="22"/>
      <c r="TMM248" s="22"/>
      <c r="TMN248" s="22"/>
      <c r="TMO248" s="22"/>
      <c r="TMP248" s="22"/>
      <c r="TMQ248" s="22"/>
      <c r="TMR248" s="22"/>
      <c r="TMS248" s="22"/>
      <c r="TMT248" s="22"/>
      <c r="TMU248" s="22"/>
      <c r="TMV248" s="22"/>
      <c r="TMW248" s="22"/>
      <c r="TMX248" s="22"/>
      <c r="TMY248" s="22"/>
      <c r="TMZ248" s="22"/>
      <c r="TNA248" s="22"/>
      <c r="TNB248" s="22"/>
      <c r="TNC248" s="22"/>
      <c r="TND248" s="22"/>
      <c r="TNE248" s="22"/>
      <c r="TNF248" s="22"/>
      <c r="TNG248" s="22"/>
      <c r="TNH248" s="22"/>
      <c r="TNI248" s="22"/>
      <c r="TNJ248" s="22"/>
      <c r="TNK248" s="22"/>
      <c r="TNL248" s="22"/>
      <c r="TNM248" s="22"/>
      <c r="TNN248" s="22"/>
      <c r="TNO248" s="22"/>
      <c r="TNP248" s="22"/>
      <c r="TNQ248" s="22"/>
      <c r="TNR248" s="22"/>
      <c r="TNS248" s="22"/>
      <c r="TNT248" s="22"/>
      <c r="TNU248" s="22"/>
      <c r="TNV248" s="22"/>
      <c r="TNW248" s="22"/>
      <c r="TNX248" s="22"/>
      <c r="TNY248" s="22"/>
      <c r="TNZ248" s="22"/>
      <c r="TOA248" s="22"/>
      <c r="TOB248" s="22"/>
      <c r="TOC248" s="22"/>
      <c r="TOD248" s="22"/>
      <c r="TOE248" s="22"/>
      <c r="TOF248" s="22"/>
      <c r="TOG248" s="22"/>
      <c r="TOH248" s="22"/>
      <c r="TOI248" s="22"/>
      <c r="TOJ248" s="22"/>
      <c r="TOK248" s="22"/>
      <c r="TOL248" s="22"/>
      <c r="TOM248" s="22"/>
      <c r="TON248" s="22"/>
      <c r="TOO248" s="22"/>
      <c r="TOP248" s="22"/>
      <c r="TOQ248" s="22"/>
      <c r="TOR248" s="22"/>
      <c r="TOS248" s="22"/>
      <c r="TOT248" s="22"/>
      <c r="TOU248" s="22"/>
      <c r="TOV248" s="22"/>
      <c r="TOW248" s="22"/>
      <c r="TOX248" s="22"/>
      <c r="TOY248" s="22"/>
      <c r="TOZ248" s="22"/>
      <c r="TPA248" s="22"/>
      <c r="TPB248" s="22"/>
      <c r="TPC248" s="22"/>
      <c r="TPD248" s="22"/>
      <c r="TPE248" s="22"/>
      <c r="TPF248" s="22"/>
      <c r="TPG248" s="22"/>
      <c r="TPH248" s="22"/>
      <c r="TPI248" s="22"/>
      <c r="TPJ248" s="22"/>
      <c r="TPK248" s="22"/>
      <c r="TPL248" s="22"/>
      <c r="TPM248" s="22"/>
      <c r="TPN248" s="22"/>
      <c r="TPO248" s="22"/>
      <c r="TPP248" s="22"/>
      <c r="TPQ248" s="22"/>
      <c r="TPR248" s="22"/>
      <c r="TPS248" s="22"/>
      <c r="TPT248" s="22"/>
      <c r="TPU248" s="22"/>
      <c r="TPV248" s="22"/>
      <c r="TPW248" s="22"/>
      <c r="TPX248" s="22"/>
      <c r="TPY248" s="22"/>
      <c r="TPZ248" s="22"/>
      <c r="TQA248" s="22"/>
      <c r="TQB248" s="22"/>
      <c r="TQC248" s="22"/>
      <c r="TQD248" s="22"/>
      <c r="TQE248" s="22"/>
      <c r="TQF248" s="22"/>
      <c r="TQG248" s="22"/>
      <c r="TQH248" s="22"/>
      <c r="TQI248" s="22"/>
      <c r="TQJ248" s="22"/>
      <c r="TQK248" s="22"/>
      <c r="TQL248" s="22"/>
      <c r="TQM248" s="22"/>
      <c r="TQN248" s="22"/>
      <c r="TQO248" s="22"/>
      <c r="TQP248" s="22"/>
      <c r="TQQ248" s="22"/>
      <c r="TQR248" s="22"/>
      <c r="TQS248" s="22"/>
      <c r="TQT248" s="22"/>
      <c r="TQU248" s="22"/>
      <c r="TQV248" s="22"/>
      <c r="TQW248" s="22"/>
      <c r="TQX248" s="22"/>
      <c r="TQY248" s="22"/>
      <c r="TQZ248" s="22"/>
      <c r="TRA248" s="22"/>
      <c r="TRB248" s="22"/>
      <c r="TRC248" s="22"/>
      <c r="TRD248" s="22"/>
      <c r="TRE248" s="22"/>
      <c r="TRF248" s="22"/>
      <c r="TRG248" s="22"/>
      <c r="TRH248" s="22"/>
      <c r="TRI248" s="22"/>
      <c r="TRJ248" s="22"/>
      <c r="TRK248" s="22"/>
      <c r="TRL248" s="22"/>
      <c r="TRM248" s="22"/>
      <c r="TRN248" s="22"/>
      <c r="TRO248" s="22"/>
      <c r="TRP248" s="22"/>
      <c r="TRQ248" s="22"/>
      <c r="TRR248" s="22"/>
      <c r="TRS248" s="22"/>
      <c r="TRT248" s="22"/>
      <c r="TRU248" s="22"/>
      <c r="TRV248" s="22"/>
      <c r="TRW248" s="22"/>
      <c r="TRX248" s="22"/>
      <c r="TRY248" s="22"/>
      <c r="TRZ248" s="22"/>
      <c r="TSA248" s="22"/>
      <c r="TSB248" s="22"/>
      <c r="TSC248" s="22"/>
      <c r="TSD248" s="22"/>
      <c r="TSE248" s="22"/>
      <c r="TSF248" s="22"/>
      <c r="TSG248" s="22"/>
      <c r="TSH248" s="22"/>
      <c r="TSI248" s="22"/>
      <c r="TSJ248" s="22"/>
      <c r="TSK248" s="22"/>
      <c r="TSL248" s="22"/>
      <c r="TSM248" s="22"/>
      <c r="TSN248" s="22"/>
      <c r="TSO248" s="22"/>
      <c r="TSP248" s="22"/>
      <c r="TSQ248" s="22"/>
      <c r="TSR248" s="22"/>
      <c r="TSS248" s="22"/>
      <c r="TST248" s="22"/>
      <c r="TSU248" s="22"/>
      <c r="TSV248" s="22"/>
      <c r="TSW248" s="22"/>
      <c r="TSX248" s="22"/>
      <c r="TSY248" s="22"/>
      <c r="TSZ248" s="22"/>
      <c r="TTA248" s="22"/>
      <c r="TTB248" s="22"/>
      <c r="TTC248" s="22"/>
      <c r="TTD248" s="22"/>
      <c r="TTE248" s="22"/>
      <c r="TTF248" s="22"/>
      <c r="TTG248" s="22"/>
      <c r="TTH248" s="22"/>
      <c r="TTI248" s="22"/>
      <c r="TTJ248" s="22"/>
      <c r="TTK248" s="22"/>
      <c r="TTL248" s="22"/>
      <c r="TTM248" s="22"/>
      <c r="TTN248" s="22"/>
      <c r="TTO248" s="22"/>
      <c r="TTP248" s="22"/>
      <c r="TTQ248" s="22"/>
      <c r="TTR248" s="22"/>
      <c r="TTS248" s="22"/>
      <c r="TTT248" s="22"/>
      <c r="TTU248" s="22"/>
      <c r="TTV248" s="22"/>
      <c r="TTW248" s="22"/>
      <c r="TTX248" s="22"/>
      <c r="TTY248" s="22"/>
      <c r="TTZ248" s="22"/>
      <c r="TUA248" s="22"/>
      <c r="TUB248" s="22"/>
      <c r="TUC248" s="22"/>
      <c r="TUD248" s="22"/>
      <c r="TUE248" s="22"/>
      <c r="TUF248" s="22"/>
      <c r="TUG248" s="22"/>
      <c r="TUH248" s="22"/>
      <c r="TUI248" s="22"/>
      <c r="TUJ248" s="22"/>
      <c r="TUK248" s="22"/>
      <c r="TUL248" s="22"/>
      <c r="TUM248" s="22"/>
      <c r="TUN248" s="22"/>
      <c r="TUO248" s="22"/>
      <c r="TUP248" s="22"/>
      <c r="TUQ248" s="22"/>
      <c r="TUR248" s="22"/>
      <c r="TUS248" s="22"/>
      <c r="TUT248" s="22"/>
      <c r="TUU248" s="22"/>
      <c r="TUV248" s="22"/>
      <c r="TUW248" s="22"/>
      <c r="TUX248" s="22"/>
      <c r="TUY248" s="22"/>
      <c r="TUZ248" s="22"/>
      <c r="TVA248" s="22"/>
      <c r="TVB248" s="22"/>
      <c r="TVC248" s="22"/>
      <c r="TVD248" s="22"/>
      <c r="TVE248" s="22"/>
      <c r="TVF248" s="22"/>
      <c r="TVG248" s="22"/>
      <c r="TVH248" s="22"/>
      <c r="TVI248" s="22"/>
      <c r="TVJ248" s="22"/>
      <c r="TVK248" s="22"/>
      <c r="TVL248" s="22"/>
      <c r="TVM248" s="22"/>
      <c r="TVN248" s="22"/>
      <c r="TVO248" s="22"/>
      <c r="TVP248" s="22"/>
      <c r="TVQ248" s="22"/>
      <c r="TVR248" s="22"/>
      <c r="TVS248" s="22"/>
      <c r="TVT248" s="22"/>
      <c r="TVU248" s="22"/>
      <c r="TVV248" s="22"/>
      <c r="TVW248" s="22"/>
      <c r="TVX248" s="22"/>
      <c r="TVY248" s="22"/>
      <c r="TVZ248" s="22"/>
      <c r="TWA248" s="22"/>
      <c r="TWB248" s="22"/>
      <c r="TWC248" s="22"/>
      <c r="TWD248" s="22"/>
      <c r="TWE248" s="22"/>
      <c r="TWF248" s="22"/>
      <c r="TWG248" s="22"/>
      <c r="TWH248" s="22"/>
      <c r="TWI248" s="22"/>
      <c r="TWJ248" s="22"/>
      <c r="TWK248" s="22"/>
      <c r="TWL248" s="22"/>
      <c r="TWM248" s="22"/>
      <c r="TWN248" s="22"/>
      <c r="TWO248" s="22"/>
      <c r="TWP248" s="22"/>
      <c r="TWQ248" s="22"/>
      <c r="TWR248" s="22"/>
      <c r="TWS248" s="22"/>
      <c r="TWT248" s="22"/>
      <c r="TWU248" s="22"/>
      <c r="TWV248" s="22"/>
      <c r="TWW248" s="22"/>
      <c r="TWX248" s="22"/>
      <c r="TWY248" s="22"/>
      <c r="TWZ248" s="22"/>
      <c r="TXA248" s="22"/>
      <c r="TXB248" s="22"/>
      <c r="TXC248" s="22"/>
      <c r="TXD248" s="22"/>
      <c r="TXE248" s="22"/>
      <c r="TXF248" s="22"/>
      <c r="TXG248" s="22"/>
      <c r="TXH248" s="22"/>
      <c r="TXI248" s="22"/>
      <c r="TXJ248" s="22"/>
      <c r="TXK248" s="22"/>
      <c r="TXL248" s="22"/>
      <c r="TXM248" s="22"/>
      <c r="TXN248" s="22"/>
      <c r="TXO248" s="22"/>
      <c r="TXP248" s="22"/>
      <c r="TXQ248" s="22"/>
      <c r="TXR248" s="22"/>
      <c r="TXS248" s="22"/>
      <c r="TXT248" s="22"/>
      <c r="TXU248" s="22"/>
      <c r="TXV248" s="22"/>
      <c r="TXW248" s="22"/>
      <c r="TXX248" s="22"/>
      <c r="TXY248" s="22"/>
      <c r="TXZ248" s="22"/>
      <c r="TYA248" s="22"/>
      <c r="TYB248" s="22"/>
      <c r="TYC248" s="22"/>
      <c r="TYD248" s="22"/>
      <c r="TYE248" s="22"/>
      <c r="TYF248" s="22"/>
      <c r="TYG248" s="22"/>
      <c r="TYH248" s="22"/>
      <c r="TYI248" s="22"/>
      <c r="TYJ248" s="22"/>
      <c r="TYK248" s="22"/>
      <c r="TYL248" s="22"/>
      <c r="TYM248" s="22"/>
      <c r="TYN248" s="22"/>
      <c r="TYO248" s="22"/>
      <c r="TYP248" s="22"/>
      <c r="TYQ248" s="22"/>
      <c r="TYR248" s="22"/>
      <c r="TYS248" s="22"/>
      <c r="TYT248" s="22"/>
      <c r="TYU248" s="22"/>
      <c r="TYV248" s="22"/>
      <c r="TYW248" s="22"/>
      <c r="TYX248" s="22"/>
      <c r="TYY248" s="22"/>
      <c r="TYZ248" s="22"/>
      <c r="TZA248" s="22"/>
      <c r="TZB248" s="22"/>
      <c r="TZC248" s="22"/>
      <c r="TZD248" s="22"/>
      <c r="TZE248" s="22"/>
      <c r="TZF248" s="22"/>
      <c r="TZG248" s="22"/>
      <c r="TZH248" s="22"/>
      <c r="TZI248" s="22"/>
      <c r="TZJ248" s="22"/>
      <c r="TZK248" s="22"/>
      <c r="TZL248" s="22"/>
      <c r="TZM248" s="22"/>
      <c r="TZN248" s="22"/>
      <c r="TZO248" s="22"/>
      <c r="TZP248" s="22"/>
      <c r="TZQ248" s="22"/>
      <c r="TZR248" s="22"/>
      <c r="TZS248" s="22"/>
      <c r="TZT248" s="22"/>
      <c r="TZU248" s="22"/>
      <c r="TZV248" s="22"/>
      <c r="TZW248" s="22"/>
      <c r="TZX248" s="22"/>
      <c r="TZY248" s="22"/>
      <c r="TZZ248" s="22"/>
      <c r="UAA248" s="22"/>
      <c r="UAB248" s="22"/>
      <c r="UAC248" s="22"/>
      <c r="UAD248" s="22"/>
      <c r="UAE248" s="22"/>
      <c r="UAF248" s="22"/>
      <c r="UAG248" s="22"/>
      <c r="UAH248" s="22"/>
      <c r="UAI248" s="22"/>
      <c r="UAJ248" s="22"/>
      <c r="UAK248" s="22"/>
      <c r="UAL248" s="22"/>
      <c r="UAM248" s="22"/>
      <c r="UAN248" s="22"/>
      <c r="UAO248" s="22"/>
      <c r="UAP248" s="22"/>
      <c r="UAQ248" s="22"/>
      <c r="UAR248" s="22"/>
      <c r="UAS248" s="22"/>
      <c r="UAT248" s="22"/>
      <c r="UAU248" s="22"/>
      <c r="UAV248" s="22"/>
      <c r="UAW248" s="22"/>
      <c r="UAX248" s="22"/>
      <c r="UAY248" s="22"/>
      <c r="UAZ248" s="22"/>
      <c r="UBA248" s="22"/>
      <c r="UBB248" s="22"/>
      <c r="UBC248" s="22"/>
      <c r="UBD248" s="22"/>
      <c r="UBE248" s="22"/>
      <c r="UBF248" s="22"/>
      <c r="UBG248" s="22"/>
      <c r="UBH248" s="22"/>
      <c r="UBI248" s="22"/>
      <c r="UBJ248" s="22"/>
      <c r="UBK248" s="22"/>
      <c r="UBL248" s="22"/>
      <c r="UBM248" s="22"/>
      <c r="UBN248" s="22"/>
      <c r="UBO248" s="22"/>
      <c r="UBP248" s="22"/>
      <c r="UBQ248" s="22"/>
      <c r="UBR248" s="22"/>
      <c r="UBS248" s="22"/>
      <c r="UBT248" s="22"/>
      <c r="UBU248" s="22"/>
      <c r="UBV248" s="22"/>
      <c r="UBW248" s="22"/>
      <c r="UBX248" s="22"/>
      <c r="UBY248" s="22"/>
      <c r="UBZ248" s="22"/>
      <c r="UCA248" s="22"/>
      <c r="UCB248" s="22"/>
      <c r="UCC248" s="22"/>
      <c r="UCD248" s="22"/>
      <c r="UCE248" s="22"/>
      <c r="UCF248" s="22"/>
      <c r="UCG248" s="22"/>
      <c r="UCH248" s="22"/>
      <c r="UCI248" s="22"/>
      <c r="UCJ248" s="22"/>
      <c r="UCK248" s="22"/>
      <c r="UCL248" s="22"/>
      <c r="UCM248" s="22"/>
      <c r="UCN248" s="22"/>
      <c r="UCO248" s="22"/>
      <c r="UCP248" s="22"/>
      <c r="UCQ248" s="22"/>
      <c r="UCR248" s="22"/>
      <c r="UCS248" s="22"/>
      <c r="UCT248" s="22"/>
      <c r="UCU248" s="22"/>
      <c r="UCV248" s="22"/>
      <c r="UCW248" s="22"/>
      <c r="UCX248" s="22"/>
      <c r="UCY248" s="22"/>
      <c r="UCZ248" s="22"/>
      <c r="UDA248" s="22"/>
      <c r="UDB248" s="22"/>
      <c r="UDC248" s="22"/>
      <c r="UDD248" s="22"/>
      <c r="UDE248" s="22"/>
      <c r="UDF248" s="22"/>
      <c r="UDG248" s="22"/>
      <c r="UDH248" s="22"/>
      <c r="UDI248" s="22"/>
      <c r="UDJ248" s="22"/>
      <c r="UDK248" s="22"/>
      <c r="UDL248" s="22"/>
      <c r="UDM248" s="22"/>
      <c r="UDN248" s="22"/>
      <c r="UDO248" s="22"/>
      <c r="UDP248" s="22"/>
      <c r="UDQ248" s="22"/>
      <c r="UDR248" s="22"/>
      <c r="UDS248" s="22"/>
      <c r="UDT248" s="22"/>
      <c r="UDU248" s="22"/>
      <c r="UDV248" s="22"/>
      <c r="UDW248" s="22"/>
      <c r="UDX248" s="22"/>
      <c r="UDY248" s="22"/>
      <c r="UDZ248" s="22"/>
      <c r="UEA248" s="22"/>
      <c r="UEB248" s="22"/>
      <c r="UEC248" s="22"/>
      <c r="UED248" s="22"/>
      <c r="UEE248" s="22"/>
      <c r="UEF248" s="22"/>
      <c r="UEG248" s="22"/>
      <c r="UEH248" s="22"/>
      <c r="UEI248" s="22"/>
      <c r="UEJ248" s="22"/>
      <c r="UEK248" s="22"/>
      <c r="UEL248" s="22"/>
      <c r="UEM248" s="22"/>
      <c r="UEN248" s="22"/>
      <c r="UEO248" s="22"/>
      <c r="UEP248" s="22"/>
      <c r="UEQ248" s="22"/>
      <c r="UER248" s="22"/>
      <c r="UES248" s="22"/>
      <c r="UET248" s="22"/>
      <c r="UEU248" s="22"/>
      <c r="UEV248" s="22"/>
      <c r="UEW248" s="22"/>
      <c r="UEX248" s="22"/>
      <c r="UEY248" s="22"/>
      <c r="UEZ248" s="22"/>
      <c r="UFA248" s="22"/>
      <c r="UFB248" s="22"/>
      <c r="UFC248" s="22"/>
      <c r="UFD248" s="22"/>
      <c r="UFE248" s="22"/>
      <c r="UFF248" s="22"/>
      <c r="UFG248" s="22"/>
      <c r="UFH248" s="22"/>
      <c r="UFI248" s="22"/>
      <c r="UFJ248" s="22"/>
      <c r="UFK248" s="22"/>
      <c r="UFL248" s="22"/>
      <c r="UFM248" s="22"/>
      <c r="UFN248" s="22"/>
      <c r="UFO248" s="22"/>
      <c r="UFP248" s="22"/>
      <c r="UFQ248" s="22"/>
      <c r="UFR248" s="22"/>
      <c r="UFS248" s="22"/>
      <c r="UFT248" s="22"/>
      <c r="UFU248" s="22"/>
      <c r="UFV248" s="22"/>
      <c r="UFW248" s="22"/>
      <c r="UFX248" s="22"/>
      <c r="UFY248" s="22"/>
      <c r="UFZ248" s="22"/>
      <c r="UGA248" s="22"/>
      <c r="UGB248" s="22"/>
      <c r="UGC248" s="22"/>
      <c r="UGD248" s="22"/>
      <c r="UGE248" s="22"/>
      <c r="UGF248" s="22"/>
      <c r="UGG248" s="22"/>
      <c r="UGH248" s="22"/>
      <c r="UGI248" s="22"/>
      <c r="UGJ248" s="22"/>
      <c r="UGK248" s="22"/>
      <c r="UGL248" s="22"/>
      <c r="UGM248" s="22"/>
      <c r="UGN248" s="22"/>
      <c r="UGO248" s="22"/>
      <c r="UGP248" s="22"/>
      <c r="UGQ248" s="22"/>
      <c r="UGR248" s="22"/>
      <c r="UGS248" s="22"/>
      <c r="UGT248" s="22"/>
      <c r="UGU248" s="22"/>
      <c r="UGV248" s="22"/>
      <c r="UGW248" s="22"/>
      <c r="UGX248" s="22"/>
      <c r="UGY248" s="22"/>
      <c r="UGZ248" s="22"/>
      <c r="UHA248" s="22"/>
      <c r="UHB248" s="22"/>
      <c r="UHC248" s="22"/>
      <c r="UHD248" s="22"/>
      <c r="UHE248" s="22"/>
      <c r="UHF248" s="22"/>
      <c r="UHG248" s="22"/>
      <c r="UHH248" s="22"/>
      <c r="UHI248" s="22"/>
      <c r="UHJ248" s="22"/>
      <c r="UHK248" s="22"/>
      <c r="UHL248" s="22"/>
      <c r="UHM248" s="22"/>
      <c r="UHN248" s="22"/>
      <c r="UHO248" s="22"/>
      <c r="UHP248" s="22"/>
      <c r="UHQ248" s="22"/>
      <c r="UHR248" s="22"/>
      <c r="UHS248" s="22"/>
      <c r="UHT248" s="22"/>
      <c r="UHU248" s="22"/>
      <c r="UHV248" s="22"/>
      <c r="UHW248" s="22"/>
      <c r="UHX248" s="22"/>
      <c r="UHY248" s="22"/>
      <c r="UHZ248" s="22"/>
      <c r="UIA248" s="22"/>
      <c r="UIB248" s="22"/>
      <c r="UIC248" s="22"/>
      <c r="UID248" s="22"/>
      <c r="UIE248" s="22"/>
      <c r="UIF248" s="22"/>
      <c r="UIG248" s="22"/>
      <c r="UIH248" s="22"/>
      <c r="UII248" s="22"/>
      <c r="UIJ248" s="22"/>
      <c r="UIK248" s="22"/>
      <c r="UIL248" s="22"/>
      <c r="UIM248" s="22"/>
      <c r="UIN248" s="22"/>
      <c r="UIO248" s="22"/>
      <c r="UIP248" s="22"/>
      <c r="UIQ248" s="22"/>
      <c r="UIR248" s="22"/>
      <c r="UIS248" s="22"/>
      <c r="UIT248" s="22"/>
      <c r="UIU248" s="22"/>
      <c r="UIV248" s="22"/>
      <c r="UIW248" s="22"/>
      <c r="UIX248" s="22"/>
      <c r="UIY248" s="22"/>
      <c r="UIZ248" s="22"/>
      <c r="UJA248" s="22"/>
      <c r="UJB248" s="22"/>
      <c r="UJC248" s="22"/>
      <c r="UJD248" s="22"/>
      <c r="UJE248" s="22"/>
      <c r="UJF248" s="22"/>
      <c r="UJG248" s="22"/>
      <c r="UJH248" s="22"/>
      <c r="UJI248" s="22"/>
      <c r="UJJ248" s="22"/>
      <c r="UJK248" s="22"/>
      <c r="UJL248" s="22"/>
      <c r="UJM248" s="22"/>
      <c r="UJN248" s="22"/>
      <c r="UJO248" s="22"/>
      <c r="UJP248" s="22"/>
      <c r="UJQ248" s="22"/>
      <c r="UJR248" s="22"/>
      <c r="UJS248" s="22"/>
      <c r="UJT248" s="22"/>
      <c r="UJU248" s="22"/>
      <c r="UJV248" s="22"/>
      <c r="UJW248" s="22"/>
      <c r="UJX248" s="22"/>
      <c r="UJY248" s="22"/>
      <c r="UJZ248" s="22"/>
      <c r="UKA248" s="22"/>
      <c r="UKB248" s="22"/>
      <c r="UKC248" s="22"/>
      <c r="UKD248" s="22"/>
      <c r="UKE248" s="22"/>
      <c r="UKF248" s="22"/>
      <c r="UKG248" s="22"/>
      <c r="UKH248" s="22"/>
      <c r="UKI248" s="22"/>
      <c r="UKJ248" s="22"/>
      <c r="UKK248" s="22"/>
      <c r="UKL248" s="22"/>
      <c r="UKM248" s="22"/>
      <c r="UKN248" s="22"/>
      <c r="UKO248" s="22"/>
      <c r="UKP248" s="22"/>
      <c r="UKQ248" s="22"/>
      <c r="UKR248" s="22"/>
      <c r="UKS248" s="22"/>
      <c r="UKT248" s="22"/>
      <c r="UKU248" s="22"/>
      <c r="UKV248" s="22"/>
      <c r="UKW248" s="22"/>
      <c r="UKX248" s="22"/>
      <c r="UKY248" s="22"/>
      <c r="UKZ248" s="22"/>
      <c r="ULA248" s="22"/>
      <c r="ULB248" s="22"/>
      <c r="ULC248" s="22"/>
      <c r="ULD248" s="22"/>
      <c r="ULE248" s="22"/>
      <c r="ULF248" s="22"/>
      <c r="ULG248" s="22"/>
      <c r="ULH248" s="22"/>
      <c r="ULI248" s="22"/>
      <c r="ULJ248" s="22"/>
      <c r="ULK248" s="22"/>
      <c r="ULL248" s="22"/>
      <c r="ULM248" s="22"/>
      <c r="ULN248" s="22"/>
      <c r="ULO248" s="22"/>
      <c r="ULP248" s="22"/>
      <c r="ULQ248" s="22"/>
      <c r="ULR248" s="22"/>
      <c r="ULS248" s="22"/>
      <c r="ULT248" s="22"/>
      <c r="ULU248" s="22"/>
      <c r="ULV248" s="22"/>
      <c r="ULW248" s="22"/>
      <c r="ULX248" s="22"/>
      <c r="ULY248" s="22"/>
      <c r="ULZ248" s="22"/>
      <c r="UMA248" s="22"/>
      <c r="UMB248" s="22"/>
      <c r="UMC248" s="22"/>
      <c r="UMD248" s="22"/>
      <c r="UME248" s="22"/>
      <c r="UMF248" s="22"/>
      <c r="UMG248" s="22"/>
      <c r="UMH248" s="22"/>
      <c r="UMI248" s="22"/>
      <c r="UMJ248" s="22"/>
      <c r="UMK248" s="22"/>
      <c r="UML248" s="22"/>
      <c r="UMM248" s="22"/>
      <c r="UMN248" s="22"/>
      <c r="UMO248" s="22"/>
      <c r="UMP248" s="22"/>
      <c r="UMQ248" s="22"/>
      <c r="UMR248" s="22"/>
      <c r="UMS248" s="22"/>
      <c r="UMT248" s="22"/>
      <c r="UMU248" s="22"/>
      <c r="UMV248" s="22"/>
      <c r="UMW248" s="22"/>
      <c r="UMX248" s="22"/>
      <c r="UMY248" s="22"/>
      <c r="UMZ248" s="22"/>
      <c r="UNA248" s="22"/>
      <c r="UNB248" s="22"/>
      <c r="UNC248" s="22"/>
      <c r="UND248" s="22"/>
      <c r="UNE248" s="22"/>
      <c r="UNF248" s="22"/>
      <c r="UNG248" s="22"/>
      <c r="UNH248" s="22"/>
      <c r="UNI248" s="22"/>
      <c r="UNJ248" s="22"/>
      <c r="UNK248" s="22"/>
      <c r="UNL248" s="22"/>
      <c r="UNM248" s="22"/>
      <c r="UNN248" s="22"/>
      <c r="UNO248" s="22"/>
      <c r="UNP248" s="22"/>
      <c r="UNQ248" s="22"/>
      <c r="UNR248" s="22"/>
      <c r="UNS248" s="22"/>
      <c r="UNT248" s="22"/>
      <c r="UNU248" s="22"/>
      <c r="UNV248" s="22"/>
      <c r="UNW248" s="22"/>
      <c r="UNX248" s="22"/>
      <c r="UNY248" s="22"/>
      <c r="UNZ248" s="22"/>
      <c r="UOA248" s="22"/>
      <c r="UOB248" s="22"/>
      <c r="UOC248" s="22"/>
      <c r="UOD248" s="22"/>
      <c r="UOE248" s="22"/>
      <c r="UOF248" s="22"/>
      <c r="UOG248" s="22"/>
      <c r="UOH248" s="22"/>
      <c r="UOI248" s="22"/>
      <c r="UOJ248" s="22"/>
      <c r="UOK248" s="22"/>
      <c r="UOL248" s="22"/>
      <c r="UOM248" s="22"/>
      <c r="UON248" s="22"/>
      <c r="UOO248" s="22"/>
      <c r="UOP248" s="22"/>
      <c r="UOQ248" s="22"/>
      <c r="UOR248" s="22"/>
      <c r="UOS248" s="22"/>
      <c r="UOT248" s="22"/>
      <c r="UOU248" s="22"/>
      <c r="UOV248" s="22"/>
      <c r="UOW248" s="22"/>
      <c r="UOX248" s="22"/>
      <c r="UOY248" s="22"/>
      <c r="UOZ248" s="22"/>
      <c r="UPA248" s="22"/>
      <c r="UPB248" s="22"/>
      <c r="UPC248" s="22"/>
      <c r="UPD248" s="22"/>
      <c r="UPE248" s="22"/>
      <c r="UPF248" s="22"/>
      <c r="UPG248" s="22"/>
      <c r="UPH248" s="22"/>
      <c r="UPI248" s="22"/>
      <c r="UPJ248" s="22"/>
      <c r="UPK248" s="22"/>
      <c r="UPL248" s="22"/>
      <c r="UPM248" s="22"/>
      <c r="UPN248" s="22"/>
      <c r="UPO248" s="22"/>
      <c r="UPP248" s="22"/>
      <c r="UPQ248" s="22"/>
      <c r="UPR248" s="22"/>
      <c r="UPS248" s="22"/>
      <c r="UPT248" s="22"/>
      <c r="UPU248" s="22"/>
      <c r="UPV248" s="22"/>
      <c r="UPW248" s="22"/>
      <c r="UPX248" s="22"/>
      <c r="UPY248" s="22"/>
      <c r="UPZ248" s="22"/>
      <c r="UQA248" s="22"/>
      <c r="UQB248" s="22"/>
      <c r="UQC248" s="22"/>
      <c r="UQD248" s="22"/>
      <c r="UQE248" s="22"/>
      <c r="UQF248" s="22"/>
      <c r="UQG248" s="22"/>
      <c r="UQH248" s="22"/>
      <c r="UQI248" s="22"/>
      <c r="UQJ248" s="22"/>
      <c r="UQK248" s="22"/>
      <c r="UQL248" s="22"/>
      <c r="UQM248" s="22"/>
      <c r="UQN248" s="22"/>
      <c r="UQO248" s="22"/>
      <c r="UQP248" s="22"/>
      <c r="UQQ248" s="22"/>
      <c r="UQR248" s="22"/>
      <c r="UQS248" s="22"/>
      <c r="UQT248" s="22"/>
      <c r="UQU248" s="22"/>
      <c r="UQV248" s="22"/>
      <c r="UQW248" s="22"/>
      <c r="UQX248" s="22"/>
      <c r="UQY248" s="22"/>
      <c r="UQZ248" s="22"/>
      <c r="URA248" s="22"/>
      <c r="URB248" s="22"/>
      <c r="URC248" s="22"/>
      <c r="URD248" s="22"/>
      <c r="URE248" s="22"/>
      <c r="URF248" s="22"/>
      <c r="URG248" s="22"/>
      <c r="URH248" s="22"/>
      <c r="URI248" s="22"/>
      <c r="URJ248" s="22"/>
      <c r="URK248" s="22"/>
      <c r="URL248" s="22"/>
      <c r="URM248" s="22"/>
      <c r="URN248" s="22"/>
      <c r="URO248" s="22"/>
      <c r="URP248" s="22"/>
      <c r="URQ248" s="22"/>
      <c r="URR248" s="22"/>
      <c r="URS248" s="22"/>
      <c r="URT248" s="22"/>
      <c r="URU248" s="22"/>
      <c r="URV248" s="22"/>
      <c r="URW248" s="22"/>
      <c r="URX248" s="22"/>
      <c r="URY248" s="22"/>
      <c r="URZ248" s="22"/>
      <c r="USA248" s="22"/>
      <c r="USB248" s="22"/>
      <c r="USC248" s="22"/>
      <c r="USD248" s="22"/>
      <c r="USE248" s="22"/>
      <c r="USF248" s="22"/>
      <c r="USG248" s="22"/>
      <c r="USH248" s="22"/>
      <c r="USI248" s="22"/>
      <c r="USJ248" s="22"/>
      <c r="USK248" s="22"/>
      <c r="USL248" s="22"/>
      <c r="USM248" s="22"/>
      <c r="USN248" s="22"/>
      <c r="USO248" s="22"/>
      <c r="USP248" s="22"/>
      <c r="USQ248" s="22"/>
      <c r="USR248" s="22"/>
      <c r="USS248" s="22"/>
      <c r="UST248" s="22"/>
      <c r="USU248" s="22"/>
      <c r="USV248" s="22"/>
      <c r="USW248" s="22"/>
      <c r="USX248" s="22"/>
      <c r="USY248" s="22"/>
      <c r="USZ248" s="22"/>
      <c r="UTA248" s="22"/>
      <c r="UTB248" s="22"/>
      <c r="UTC248" s="22"/>
      <c r="UTD248" s="22"/>
      <c r="UTE248" s="22"/>
      <c r="UTF248" s="22"/>
      <c r="UTG248" s="22"/>
      <c r="UTH248" s="22"/>
      <c r="UTI248" s="22"/>
      <c r="UTJ248" s="22"/>
      <c r="UTK248" s="22"/>
      <c r="UTL248" s="22"/>
      <c r="UTM248" s="22"/>
      <c r="UTN248" s="22"/>
      <c r="UTO248" s="22"/>
      <c r="UTP248" s="22"/>
      <c r="UTQ248" s="22"/>
      <c r="UTR248" s="22"/>
      <c r="UTS248" s="22"/>
      <c r="UTT248" s="22"/>
      <c r="UTU248" s="22"/>
      <c r="UTV248" s="22"/>
      <c r="UTW248" s="22"/>
      <c r="UTX248" s="22"/>
      <c r="UTY248" s="22"/>
      <c r="UTZ248" s="22"/>
      <c r="UUA248" s="22"/>
      <c r="UUB248" s="22"/>
      <c r="UUC248" s="22"/>
      <c r="UUD248" s="22"/>
      <c r="UUE248" s="22"/>
      <c r="UUF248" s="22"/>
      <c r="UUG248" s="22"/>
      <c r="UUH248" s="22"/>
      <c r="UUI248" s="22"/>
      <c r="UUJ248" s="22"/>
      <c r="UUK248" s="22"/>
      <c r="UUL248" s="22"/>
      <c r="UUM248" s="22"/>
      <c r="UUN248" s="22"/>
      <c r="UUO248" s="22"/>
      <c r="UUP248" s="22"/>
      <c r="UUQ248" s="22"/>
      <c r="UUR248" s="22"/>
      <c r="UUS248" s="22"/>
      <c r="UUT248" s="22"/>
      <c r="UUU248" s="22"/>
      <c r="UUV248" s="22"/>
      <c r="UUW248" s="22"/>
      <c r="UUX248" s="22"/>
      <c r="UUY248" s="22"/>
      <c r="UUZ248" s="22"/>
      <c r="UVA248" s="22"/>
      <c r="UVB248" s="22"/>
      <c r="UVC248" s="22"/>
      <c r="UVD248" s="22"/>
      <c r="UVE248" s="22"/>
      <c r="UVF248" s="22"/>
      <c r="UVG248" s="22"/>
      <c r="UVH248" s="22"/>
      <c r="UVI248" s="22"/>
      <c r="UVJ248" s="22"/>
      <c r="UVK248" s="22"/>
      <c r="UVL248" s="22"/>
      <c r="UVM248" s="22"/>
      <c r="UVN248" s="22"/>
      <c r="UVO248" s="22"/>
      <c r="UVP248" s="22"/>
      <c r="UVQ248" s="22"/>
      <c r="UVR248" s="22"/>
      <c r="UVS248" s="22"/>
      <c r="UVT248" s="22"/>
      <c r="UVU248" s="22"/>
      <c r="UVV248" s="22"/>
      <c r="UVW248" s="22"/>
      <c r="UVX248" s="22"/>
      <c r="UVY248" s="22"/>
      <c r="UVZ248" s="22"/>
      <c r="UWA248" s="22"/>
      <c r="UWB248" s="22"/>
      <c r="UWC248" s="22"/>
      <c r="UWD248" s="22"/>
      <c r="UWE248" s="22"/>
      <c r="UWF248" s="22"/>
      <c r="UWG248" s="22"/>
      <c r="UWH248" s="22"/>
      <c r="UWI248" s="22"/>
      <c r="UWJ248" s="22"/>
      <c r="UWK248" s="22"/>
      <c r="UWL248" s="22"/>
      <c r="UWM248" s="22"/>
      <c r="UWN248" s="22"/>
      <c r="UWO248" s="22"/>
      <c r="UWP248" s="22"/>
      <c r="UWQ248" s="22"/>
      <c r="UWR248" s="22"/>
      <c r="UWS248" s="22"/>
      <c r="UWT248" s="22"/>
      <c r="UWU248" s="22"/>
      <c r="UWV248" s="22"/>
      <c r="UWW248" s="22"/>
      <c r="UWX248" s="22"/>
      <c r="UWY248" s="22"/>
      <c r="UWZ248" s="22"/>
      <c r="UXA248" s="22"/>
      <c r="UXB248" s="22"/>
      <c r="UXC248" s="22"/>
      <c r="UXD248" s="22"/>
      <c r="UXE248" s="22"/>
      <c r="UXF248" s="22"/>
      <c r="UXG248" s="22"/>
      <c r="UXH248" s="22"/>
      <c r="UXI248" s="22"/>
      <c r="UXJ248" s="22"/>
      <c r="UXK248" s="22"/>
      <c r="UXL248" s="22"/>
      <c r="UXM248" s="22"/>
      <c r="UXN248" s="22"/>
      <c r="UXO248" s="22"/>
      <c r="UXP248" s="22"/>
      <c r="UXQ248" s="22"/>
      <c r="UXR248" s="22"/>
      <c r="UXS248" s="22"/>
      <c r="UXT248" s="22"/>
      <c r="UXU248" s="22"/>
      <c r="UXV248" s="22"/>
      <c r="UXW248" s="22"/>
      <c r="UXX248" s="22"/>
      <c r="UXY248" s="22"/>
      <c r="UXZ248" s="22"/>
      <c r="UYA248" s="22"/>
      <c r="UYB248" s="22"/>
      <c r="UYC248" s="22"/>
      <c r="UYD248" s="22"/>
      <c r="UYE248" s="22"/>
      <c r="UYF248" s="22"/>
      <c r="UYG248" s="22"/>
      <c r="UYH248" s="22"/>
      <c r="UYI248" s="22"/>
      <c r="UYJ248" s="22"/>
      <c r="UYK248" s="22"/>
      <c r="UYL248" s="22"/>
      <c r="UYM248" s="22"/>
      <c r="UYN248" s="22"/>
      <c r="UYO248" s="22"/>
      <c r="UYP248" s="22"/>
      <c r="UYQ248" s="22"/>
      <c r="UYR248" s="22"/>
      <c r="UYS248" s="22"/>
      <c r="UYT248" s="22"/>
      <c r="UYU248" s="22"/>
      <c r="UYV248" s="22"/>
      <c r="UYW248" s="22"/>
      <c r="UYX248" s="22"/>
      <c r="UYY248" s="22"/>
      <c r="UYZ248" s="22"/>
      <c r="UZA248" s="22"/>
      <c r="UZB248" s="22"/>
      <c r="UZC248" s="22"/>
      <c r="UZD248" s="22"/>
      <c r="UZE248" s="22"/>
      <c r="UZF248" s="22"/>
      <c r="UZG248" s="22"/>
      <c r="UZH248" s="22"/>
      <c r="UZI248" s="22"/>
      <c r="UZJ248" s="22"/>
      <c r="UZK248" s="22"/>
      <c r="UZL248" s="22"/>
      <c r="UZM248" s="22"/>
      <c r="UZN248" s="22"/>
      <c r="UZO248" s="22"/>
      <c r="UZP248" s="22"/>
      <c r="UZQ248" s="22"/>
      <c r="UZR248" s="22"/>
      <c r="UZS248" s="22"/>
      <c r="UZT248" s="22"/>
      <c r="UZU248" s="22"/>
      <c r="UZV248" s="22"/>
      <c r="UZW248" s="22"/>
      <c r="UZX248" s="22"/>
      <c r="UZY248" s="22"/>
      <c r="UZZ248" s="22"/>
      <c r="VAA248" s="22"/>
      <c r="VAB248" s="22"/>
      <c r="VAC248" s="22"/>
      <c r="VAD248" s="22"/>
      <c r="VAE248" s="22"/>
      <c r="VAF248" s="22"/>
      <c r="VAG248" s="22"/>
      <c r="VAH248" s="22"/>
      <c r="VAI248" s="22"/>
      <c r="VAJ248" s="22"/>
      <c r="VAK248" s="22"/>
      <c r="VAL248" s="22"/>
      <c r="VAM248" s="22"/>
      <c r="VAN248" s="22"/>
      <c r="VAO248" s="22"/>
      <c r="VAP248" s="22"/>
      <c r="VAQ248" s="22"/>
      <c r="VAR248" s="22"/>
      <c r="VAS248" s="22"/>
      <c r="VAT248" s="22"/>
      <c r="VAU248" s="22"/>
      <c r="VAV248" s="22"/>
      <c r="VAW248" s="22"/>
      <c r="VAX248" s="22"/>
      <c r="VAY248" s="22"/>
      <c r="VAZ248" s="22"/>
      <c r="VBA248" s="22"/>
      <c r="VBB248" s="22"/>
      <c r="VBC248" s="22"/>
      <c r="VBD248" s="22"/>
      <c r="VBE248" s="22"/>
      <c r="VBF248" s="22"/>
      <c r="VBG248" s="22"/>
      <c r="VBH248" s="22"/>
      <c r="VBI248" s="22"/>
      <c r="VBJ248" s="22"/>
      <c r="VBK248" s="22"/>
      <c r="VBL248" s="22"/>
      <c r="VBM248" s="22"/>
      <c r="VBN248" s="22"/>
      <c r="VBO248" s="22"/>
      <c r="VBP248" s="22"/>
      <c r="VBQ248" s="22"/>
      <c r="VBR248" s="22"/>
      <c r="VBS248" s="22"/>
      <c r="VBT248" s="22"/>
      <c r="VBU248" s="22"/>
      <c r="VBV248" s="22"/>
      <c r="VBW248" s="22"/>
      <c r="VBX248" s="22"/>
      <c r="VBY248" s="22"/>
      <c r="VBZ248" s="22"/>
      <c r="VCA248" s="22"/>
      <c r="VCB248" s="22"/>
      <c r="VCC248" s="22"/>
      <c r="VCD248" s="22"/>
      <c r="VCE248" s="22"/>
      <c r="VCF248" s="22"/>
      <c r="VCG248" s="22"/>
      <c r="VCH248" s="22"/>
      <c r="VCI248" s="22"/>
      <c r="VCJ248" s="22"/>
      <c r="VCK248" s="22"/>
      <c r="VCL248" s="22"/>
      <c r="VCM248" s="22"/>
      <c r="VCN248" s="22"/>
      <c r="VCO248" s="22"/>
      <c r="VCP248" s="22"/>
      <c r="VCQ248" s="22"/>
      <c r="VCR248" s="22"/>
      <c r="VCS248" s="22"/>
      <c r="VCT248" s="22"/>
      <c r="VCU248" s="22"/>
      <c r="VCV248" s="22"/>
      <c r="VCW248" s="22"/>
      <c r="VCX248" s="22"/>
      <c r="VCY248" s="22"/>
      <c r="VCZ248" s="22"/>
      <c r="VDA248" s="22"/>
      <c r="VDB248" s="22"/>
      <c r="VDC248" s="22"/>
      <c r="VDD248" s="22"/>
      <c r="VDE248" s="22"/>
      <c r="VDF248" s="22"/>
      <c r="VDG248" s="22"/>
      <c r="VDH248" s="22"/>
      <c r="VDI248" s="22"/>
      <c r="VDJ248" s="22"/>
      <c r="VDK248" s="22"/>
      <c r="VDL248" s="22"/>
      <c r="VDM248" s="22"/>
      <c r="VDN248" s="22"/>
      <c r="VDO248" s="22"/>
      <c r="VDP248" s="22"/>
      <c r="VDQ248" s="22"/>
      <c r="VDR248" s="22"/>
      <c r="VDS248" s="22"/>
      <c r="VDT248" s="22"/>
      <c r="VDU248" s="22"/>
      <c r="VDV248" s="22"/>
      <c r="VDW248" s="22"/>
      <c r="VDX248" s="22"/>
      <c r="VDY248" s="22"/>
      <c r="VDZ248" s="22"/>
      <c r="VEA248" s="22"/>
      <c r="VEB248" s="22"/>
      <c r="VEC248" s="22"/>
      <c r="VED248" s="22"/>
      <c r="VEE248" s="22"/>
      <c r="VEF248" s="22"/>
      <c r="VEG248" s="22"/>
      <c r="VEH248" s="22"/>
      <c r="VEI248" s="22"/>
      <c r="VEJ248" s="22"/>
      <c r="VEK248" s="22"/>
      <c r="VEL248" s="22"/>
      <c r="VEM248" s="22"/>
      <c r="VEN248" s="22"/>
      <c r="VEO248" s="22"/>
      <c r="VEP248" s="22"/>
      <c r="VEQ248" s="22"/>
      <c r="VER248" s="22"/>
      <c r="VES248" s="22"/>
      <c r="VET248" s="22"/>
      <c r="VEU248" s="22"/>
      <c r="VEV248" s="22"/>
      <c r="VEW248" s="22"/>
      <c r="VEX248" s="22"/>
      <c r="VEY248" s="22"/>
      <c r="VEZ248" s="22"/>
      <c r="VFA248" s="22"/>
      <c r="VFB248" s="22"/>
      <c r="VFC248" s="22"/>
      <c r="VFD248" s="22"/>
      <c r="VFE248" s="22"/>
      <c r="VFF248" s="22"/>
      <c r="VFG248" s="22"/>
      <c r="VFH248" s="22"/>
      <c r="VFI248" s="22"/>
      <c r="VFJ248" s="22"/>
      <c r="VFK248" s="22"/>
      <c r="VFL248" s="22"/>
      <c r="VFM248" s="22"/>
      <c r="VFN248" s="22"/>
      <c r="VFO248" s="22"/>
      <c r="VFP248" s="22"/>
      <c r="VFQ248" s="22"/>
      <c r="VFR248" s="22"/>
      <c r="VFS248" s="22"/>
      <c r="VFT248" s="22"/>
      <c r="VFU248" s="22"/>
      <c r="VFV248" s="22"/>
      <c r="VFW248" s="22"/>
      <c r="VFX248" s="22"/>
      <c r="VFY248" s="22"/>
      <c r="VFZ248" s="22"/>
      <c r="VGA248" s="22"/>
      <c r="VGB248" s="22"/>
      <c r="VGC248" s="22"/>
      <c r="VGD248" s="22"/>
      <c r="VGE248" s="22"/>
      <c r="VGF248" s="22"/>
      <c r="VGG248" s="22"/>
      <c r="VGH248" s="22"/>
      <c r="VGI248" s="22"/>
      <c r="VGJ248" s="22"/>
      <c r="VGK248" s="22"/>
      <c r="VGL248" s="22"/>
      <c r="VGM248" s="22"/>
      <c r="VGN248" s="22"/>
      <c r="VGO248" s="22"/>
      <c r="VGP248" s="22"/>
      <c r="VGQ248" s="22"/>
      <c r="VGR248" s="22"/>
      <c r="VGS248" s="22"/>
      <c r="VGT248" s="22"/>
      <c r="VGU248" s="22"/>
      <c r="VGV248" s="22"/>
      <c r="VGW248" s="22"/>
      <c r="VGX248" s="22"/>
      <c r="VGY248" s="22"/>
      <c r="VGZ248" s="22"/>
      <c r="VHA248" s="22"/>
      <c r="VHB248" s="22"/>
      <c r="VHC248" s="22"/>
      <c r="VHD248" s="22"/>
      <c r="VHE248" s="22"/>
      <c r="VHF248" s="22"/>
      <c r="VHG248" s="22"/>
      <c r="VHH248" s="22"/>
      <c r="VHI248" s="22"/>
      <c r="VHJ248" s="22"/>
      <c r="VHK248" s="22"/>
      <c r="VHL248" s="22"/>
      <c r="VHM248" s="22"/>
      <c r="VHN248" s="22"/>
      <c r="VHO248" s="22"/>
      <c r="VHP248" s="22"/>
      <c r="VHQ248" s="22"/>
      <c r="VHR248" s="22"/>
      <c r="VHS248" s="22"/>
      <c r="VHT248" s="22"/>
      <c r="VHU248" s="22"/>
      <c r="VHV248" s="22"/>
      <c r="VHW248" s="22"/>
      <c r="VHX248" s="22"/>
      <c r="VHY248" s="22"/>
      <c r="VHZ248" s="22"/>
      <c r="VIA248" s="22"/>
      <c r="VIB248" s="22"/>
      <c r="VIC248" s="22"/>
      <c r="VID248" s="22"/>
      <c r="VIE248" s="22"/>
      <c r="VIF248" s="22"/>
      <c r="VIG248" s="22"/>
      <c r="VIH248" s="22"/>
      <c r="VII248" s="22"/>
      <c r="VIJ248" s="22"/>
      <c r="VIK248" s="22"/>
      <c r="VIL248" s="22"/>
      <c r="VIM248" s="22"/>
      <c r="VIN248" s="22"/>
      <c r="VIO248" s="22"/>
      <c r="VIP248" s="22"/>
      <c r="VIQ248" s="22"/>
      <c r="VIR248" s="22"/>
      <c r="VIS248" s="22"/>
      <c r="VIT248" s="22"/>
      <c r="VIU248" s="22"/>
      <c r="VIV248" s="22"/>
      <c r="VIW248" s="22"/>
      <c r="VIX248" s="22"/>
      <c r="VIY248" s="22"/>
      <c r="VIZ248" s="22"/>
      <c r="VJA248" s="22"/>
      <c r="VJB248" s="22"/>
      <c r="VJC248" s="22"/>
      <c r="VJD248" s="22"/>
      <c r="VJE248" s="22"/>
      <c r="VJF248" s="22"/>
      <c r="VJG248" s="22"/>
      <c r="VJH248" s="22"/>
      <c r="VJI248" s="22"/>
      <c r="VJJ248" s="22"/>
      <c r="VJK248" s="22"/>
      <c r="VJL248" s="22"/>
      <c r="VJM248" s="22"/>
      <c r="VJN248" s="22"/>
      <c r="VJO248" s="22"/>
      <c r="VJP248" s="22"/>
      <c r="VJQ248" s="22"/>
      <c r="VJR248" s="22"/>
      <c r="VJS248" s="22"/>
      <c r="VJT248" s="22"/>
      <c r="VJU248" s="22"/>
      <c r="VJV248" s="22"/>
      <c r="VJW248" s="22"/>
      <c r="VJX248" s="22"/>
      <c r="VJY248" s="22"/>
      <c r="VJZ248" s="22"/>
      <c r="VKA248" s="22"/>
      <c r="VKB248" s="22"/>
      <c r="VKC248" s="22"/>
      <c r="VKD248" s="22"/>
      <c r="VKE248" s="22"/>
      <c r="VKF248" s="22"/>
      <c r="VKG248" s="22"/>
      <c r="VKH248" s="22"/>
      <c r="VKI248" s="22"/>
      <c r="VKJ248" s="22"/>
      <c r="VKK248" s="22"/>
      <c r="VKL248" s="22"/>
      <c r="VKM248" s="22"/>
      <c r="VKN248" s="22"/>
      <c r="VKO248" s="22"/>
      <c r="VKP248" s="22"/>
      <c r="VKQ248" s="22"/>
      <c r="VKR248" s="22"/>
      <c r="VKS248" s="22"/>
      <c r="VKT248" s="22"/>
      <c r="VKU248" s="22"/>
      <c r="VKV248" s="22"/>
      <c r="VKW248" s="22"/>
      <c r="VKX248" s="22"/>
      <c r="VKY248" s="22"/>
      <c r="VKZ248" s="22"/>
      <c r="VLA248" s="22"/>
      <c r="VLB248" s="22"/>
      <c r="VLC248" s="22"/>
      <c r="VLD248" s="22"/>
      <c r="VLE248" s="22"/>
      <c r="VLF248" s="22"/>
      <c r="VLG248" s="22"/>
      <c r="VLH248" s="22"/>
      <c r="VLI248" s="22"/>
      <c r="VLJ248" s="22"/>
      <c r="VLK248" s="22"/>
      <c r="VLL248" s="22"/>
      <c r="VLM248" s="22"/>
      <c r="VLN248" s="22"/>
      <c r="VLO248" s="22"/>
      <c r="VLP248" s="22"/>
      <c r="VLQ248" s="22"/>
      <c r="VLR248" s="22"/>
      <c r="VLS248" s="22"/>
      <c r="VLT248" s="22"/>
      <c r="VLU248" s="22"/>
      <c r="VLV248" s="22"/>
      <c r="VLW248" s="22"/>
      <c r="VLX248" s="22"/>
      <c r="VLY248" s="22"/>
      <c r="VLZ248" s="22"/>
      <c r="VMA248" s="22"/>
      <c r="VMB248" s="22"/>
      <c r="VMC248" s="22"/>
      <c r="VMD248" s="22"/>
      <c r="VME248" s="22"/>
      <c r="VMF248" s="22"/>
      <c r="VMG248" s="22"/>
      <c r="VMH248" s="22"/>
      <c r="VMI248" s="22"/>
      <c r="VMJ248" s="22"/>
      <c r="VMK248" s="22"/>
      <c r="VML248" s="22"/>
      <c r="VMM248" s="22"/>
      <c r="VMN248" s="22"/>
      <c r="VMO248" s="22"/>
      <c r="VMP248" s="22"/>
      <c r="VMQ248" s="22"/>
      <c r="VMR248" s="22"/>
      <c r="VMS248" s="22"/>
      <c r="VMT248" s="22"/>
      <c r="VMU248" s="22"/>
      <c r="VMV248" s="22"/>
      <c r="VMW248" s="22"/>
      <c r="VMX248" s="22"/>
      <c r="VMY248" s="22"/>
      <c r="VMZ248" s="22"/>
      <c r="VNA248" s="22"/>
      <c r="VNB248" s="22"/>
      <c r="VNC248" s="22"/>
      <c r="VND248" s="22"/>
      <c r="VNE248" s="22"/>
      <c r="VNF248" s="22"/>
      <c r="VNG248" s="22"/>
      <c r="VNH248" s="22"/>
      <c r="VNI248" s="22"/>
      <c r="VNJ248" s="22"/>
      <c r="VNK248" s="22"/>
      <c r="VNL248" s="22"/>
      <c r="VNM248" s="22"/>
      <c r="VNN248" s="22"/>
      <c r="VNO248" s="22"/>
      <c r="VNP248" s="22"/>
      <c r="VNQ248" s="22"/>
      <c r="VNR248" s="22"/>
      <c r="VNS248" s="22"/>
      <c r="VNT248" s="22"/>
      <c r="VNU248" s="22"/>
      <c r="VNV248" s="22"/>
      <c r="VNW248" s="22"/>
      <c r="VNX248" s="22"/>
      <c r="VNY248" s="22"/>
      <c r="VNZ248" s="22"/>
      <c r="VOA248" s="22"/>
      <c r="VOB248" s="22"/>
      <c r="VOC248" s="22"/>
      <c r="VOD248" s="22"/>
      <c r="VOE248" s="22"/>
      <c r="VOF248" s="22"/>
      <c r="VOG248" s="22"/>
      <c r="VOH248" s="22"/>
      <c r="VOI248" s="22"/>
      <c r="VOJ248" s="22"/>
      <c r="VOK248" s="22"/>
      <c r="VOL248" s="22"/>
      <c r="VOM248" s="22"/>
      <c r="VON248" s="22"/>
      <c r="VOO248" s="22"/>
      <c r="VOP248" s="22"/>
      <c r="VOQ248" s="22"/>
      <c r="VOR248" s="22"/>
      <c r="VOS248" s="22"/>
      <c r="VOT248" s="22"/>
      <c r="VOU248" s="22"/>
      <c r="VOV248" s="22"/>
      <c r="VOW248" s="22"/>
      <c r="VOX248" s="22"/>
      <c r="VOY248" s="22"/>
      <c r="VOZ248" s="22"/>
      <c r="VPA248" s="22"/>
      <c r="VPB248" s="22"/>
      <c r="VPC248" s="22"/>
      <c r="VPD248" s="22"/>
      <c r="VPE248" s="22"/>
      <c r="VPF248" s="22"/>
      <c r="VPG248" s="22"/>
      <c r="VPH248" s="22"/>
      <c r="VPI248" s="22"/>
      <c r="VPJ248" s="22"/>
      <c r="VPK248" s="22"/>
      <c r="VPL248" s="22"/>
      <c r="VPM248" s="22"/>
      <c r="VPN248" s="22"/>
      <c r="VPO248" s="22"/>
      <c r="VPP248" s="22"/>
      <c r="VPQ248" s="22"/>
      <c r="VPR248" s="22"/>
      <c r="VPS248" s="22"/>
      <c r="VPT248" s="22"/>
      <c r="VPU248" s="22"/>
      <c r="VPV248" s="22"/>
      <c r="VPW248" s="22"/>
      <c r="VPX248" s="22"/>
      <c r="VPY248" s="22"/>
      <c r="VPZ248" s="22"/>
      <c r="VQA248" s="22"/>
      <c r="VQB248" s="22"/>
      <c r="VQC248" s="22"/>
      <c r="VQD248" s="22"/>
      <c r="VQE248" s="22"/>
      <c r="VQF248" s="22"/>
      <c r="VQG248" s="22"/>
      <c r="VQH248" s="22"/>
      <c r="VQI248" s="22"/>
      <c r="VQJ248" s="22"/>
      <c r="VQK248" s="22"/>
      <c r="VQL248" s="22"/>
      <c r="VQM248" s="22"/>
      <c r="VQN248" s="22"/>
      <c r="VQO248" s="22"/>
      <c r="VQP248" s="22"/>
      <c r="VQQ248" s="22"/>
      <c r="VQR248" s="22"/>
      <c r="VQS248" s="22"/>
      <c r="VQT248" s="22"/>
      <c r="VQU248" s="22"/>
      <c r="VQV248" s="22"/>
      <c r="VQW248" s="22"/>
      <c r="VQX248" s="22"/>
      <c r="VQY248" s="22"/>
      <c r="VQZ248" s="22"/>
      <c r="VRA248" s="22"/>
      <c r="VRB248" s="22"/>
      <c r="VRC248" s="22"/>
      <c r="VRD248" s="22"/>
      <c r="VRE248" s="22"/>
      <c r="VRF248" s="22"/>
      <c r="VRG248" s="22"/>
      <c r="VRH248" s="22"/>
      <c r="VRI248" s="22"/>
      <c r="VRJ248" s="22"/>
      <c r="VRK248" s="22"/>
      <c r="VRL248" s="22"/>
      <c r="VRM248" s="22"/>
      <c r="VRN248" s="22"/>
      <c r="VRO248" s="22"/>
      <c r="VRP248" s="22"/>
      <c r="VRQ248" s="22"/>
      <c r="VRR248" s="22"/>
      <c r="VRS248" s="22"/>
      <c r="VRT248" s="22"/>
      <c r="VRU248" s="22"/>
      <c r="VRV248" s="22"/>
      <c r="VRW248" s="22"/>
      <c r="VRX248" s="22"/>
      <c r="VRY248" s="22"/>
      <c r="VRZ248" s="22"/>
      <c r="VSA248" s="22"/>
      <c r="VSB248" s="22"/>
      <c r="VSC248" s="22"/>
      <c r="VSD248" s="22"/>
      <c r="VSE248" s="22"/>
      <c r="VSF248" s="22"/>
      <c r="VSG248" s="22"/>
      <c r="VSH248" s="22"/>
      <c r="VSI248" s="22"/>
      <c r="VSJ248" s="22"/>
      <c r="VSK248" s="22"/>
      <c r="VSL248" s="22"/>
      <c r="VSM248" s="22"/>
      <c r="VSN248" s="22"/>
      <c r="VSO248" s="22"/>
      <c r="VSP248" s="22"/>
      <c r="VSQ248" s="22"/>
      <c r="VSR248" s="22"/>
      <c r="VSS248" s="22"/>
      <c r="VST248" s="22"/>
      <c r="VSU248" s="22"/>
      <c r="VSV248" s="22"/>
      <c r="VSW248" s="22"/>
      <c r="VSX248" s="22"/>
      <c r="VSY248" s="22"/>
      <c r="VSZ248" s="22"/>
      <c r="VTA248" s="22"/>
      <c r="VTB248" s="22"/>
      <c r="VTC248" s="22"/>
      <c r="VTD248" s="22"/>
      <c r="VTE248" s="22"/>
      <c r="VTF248" s="22"/>
      <c r="VTG248" s="22"/>
      <c r="VTH248" s="22"/>
      <c r="VTI248" s="22"/>
      <c r="VTJ248" s="22"/>
      <c r="VTK248" s="22"/>
      <c r="VTL248" s="22"/>
      <c r="VTM248" s="22"/>
      <c r="VTN248" s="22"/>
      <c r="VTO248" s="22"/>
      <c r="VTP248" s="22"/>
      <c r="VTQ248" s="22"/>
      <c r="VTR248" s="22"/>
      <c r="VTS248" s="22"/>
      <c r="VTT248" s="22"/>
      <c r="VTU248" s="22"/>
      <c r="VTV248" s="22"/>
      <c r="VTW248" s="22"/>
      <c r="VTX248" s="22"/>
      <c r="VTY248" s="22"/>
      <c r="VTZ248" s="22"/>
      <c r="VUA248" s="22"/>
      <c r="VUB248" s="22"/>
      <c r="VUC248" s="22"/>
      <c r="VUD248" s="22"/>
      <c r="VUE248" s="22"/>
      <c r="VUF248" s="22"/>
      <c r="VUG248" s="22"/>
      <c r="VUH248" s="22"/>
      <c r="VUI248" s="22"/>
      <c r="VUJ248" s="22"/>
      <c r="VUK248" s="22"/>
      <c r="VUL248" s="22"/>
      <c r="VUM248" s="22"/>
      <c r="VUN248" s="22"/>
      <c r="VUO248" s="22"/>
      <c r="VUP248" s="22"/>
      <c r="VUQ248" s="22"/>
      <c r="VUR248" s="22"/>
      <c r="VUS248" s="22"/>
      <c r="VUT248" s="22"/>
      <c r="VUU248" s="22"/>
      <c r="VUV248" s="22"/>
      <c r="VUW248" s="22"/>
      <c r="VUX248" s="22"/>
      <c r="VUY248" s="22"/>
      <c r="VUZ248" s="22"/>
      <c r="VVA248" s="22"/>
      <c r="VVB248" s="22"/>
      <c r="VVC248" s="22"/>
      <c r="VVD248" s="22"/>
      <c r="VVE248" s="22"/>
      <c r="VVF248" s="22"/>
      <c r="VVG248" s="22"/>
      <c r="VVH248" s="22"/>
      <c r="VVI248" s="22"/>
      <c r="VVJ248" s="22"/>
      <c r="VVK248" s="22"/>
      <c r="VVL248" s="22"/>
      <c r="VVM248" s="22"/>
      <c r="VVN248" s="22"/>
      <c r="VVO248" s="22"/>
      <c r="VVP248" s="22"/>
      <c r="VVQ248" s="22"/>
      <c r="VVR248" s="22"/>
      <c r="VVS248" s="22"/>
      <c r="VVT248" s="22"/>
      <c r="VVU248" s="22"/>
      <c r="VVV248" s="22"/>
      <c r="VVW248" s="22"/>
      <c r="VVX248" s="22"/>
      <c r="VVY248" s="22"/>
      <c r="VVZ248" s="22"/>
      <c r="VWA248" s="22"/>
      <c r="VWB248" s="22"/>
      <c r="VWC248" s="22"/>
      <c r="VWD248" s="22"/>
      <c r="VWE248" s="22"/>
      <c r="VWF248" s="22"/>
      <c r="VWG248" s="22"/>
      <c r="VWH248" s="22"/>
      <c r="VWI248" s="22"/>
      <c r="VWJ248" s="22"/>
      <c r="VWK248" s="22"/>
      <c r="VWL248" s="22"/>
      <c r="VWM248" s="22"/>
      <c r="VWN248" s="22"/>
      <c r="VWO248" s="22"/>
      <c r="VWP248" s="22"/>
      <c r="VWQ248" s="22"/>
      <c r="VWR248" s="22"/>
      <c r="VWS248" s="22"/>
      <c r="VWT248" s="22"/>
      <c r="VWU248" s="22"/>
      <c r="VWV248" s="22"/>
      <c r="VWW248" s="22"/>
      <c r="VWX248" s="22"/>
      <c r="VWY248" s="22"/>
      <c r="VWZ248" s="22"/>
      <c r="VXA248" s="22"/>
      <c r="VXB248" s="22"/>
      <c r="VXC248" s="22"/>
      <c r="VXD248" s="22"/>
      <c r="VXE248" s="22"/>
      <c r="VXF248" s="22"/>
      <c r="VXG248" s="22"/>
      <c r="VXH248" s="22"/>
      <c r="VXI248" s="22"/>
      <c r="VXJ248" s="22"/>
      <c r="VXK248" s="22"/>
      <c r="VXL248" s="22"/>
      <c r="VXM248" s="22"/>
      <c r="VXN248" s="22"/>
      <c r="VXO248" s="22"/>
      <c r="VXP248" s="22"/>
      <c r="VXQ248" s="22"/>
      <c r="VXR248" s="22"/>
      <c r="VXS248" s="22"/>
      <c r="VXT248" s="22"/>
      <c r="VXU248" s="22"/>
      <c r="VXV248" s="22"/>
      <c r="VXW248" s="22"/>
      <c r="VXX248" s="22"/>
      <c r="VXY248" s="22"/>
      <c r="VXZ248" s="22"/>
      <c r="VYA248" s="22"/>
      <c r="VYB248" s="22"/>
      <c r="VYC248" s="22"/>
      <c r="VYD248" s="22"/>
      <c r="VYE248" s="22"/>
      <c r="VYF248" s="22"/>
      <c r="VYG248" s="22"/>
      <c r="VYH248" s="22"/>
      <c r="VYI248" s="22"/>
      <c r="VYJ248" s="22"/>
      <c r="VYK248" s="22"/>
      <c r="VYL248" s="22"/>
      <c r="VYM248" s="22"/>
      <c r="VYN248" s="22"/>
      <c r="VYO248" s="22"/>
      <c r="VYP248" s="22"/>
      <c r="VYQ248" s="22"/>
      <c r="VYR248" s="22"/>
      <c r="VYS248" s="22"/>
      <c r="VYT248" s="22"/>
      <c r="VYU248" s="22"/>
      <c r="VYV248" s="22"/>
      <c r="VYW248" s="22"/>
      <c r="VYX248" s="22"/>
      <c r="VYY248" s="22"/>
      <c r="VYZ248" s="22"/>
      <c r="VZA248" s="22"/>
      <c r="VZB248" s="22"/>
      <c r="VZC248" s="22"/>
      <c r="VZD248" s="22"/>
      <c r="VZE248" s="22"/>
      <c r="VZF248" s="22"/>
      <c r="VZG248" s="22"/>
      <c r="VZH248" s="22"/>
      <c r="VZI248" s="22"/>
      <c r="VZJ248" s="22"/>
      <c r="VZK248" s="22"/>
      <c r="VZL248" s="22"/>
      <c r="VZM248" s="22"/>
      <c r="VZN248" s="22"/>
      <c r="VZO248" s="22"/>
      <c r="VZP248" s="22"/>
      <c r="VZQ248" s="22"/>
      <c r="VZR248" s="22"/>
      <c r="VZS248" s="22"/>
      <c r="VZT248" s="22"/>
      <c r="VZU248" s="22"/>
      <c r="VZV248" s="22"/>
      <c r="VZW248" s="22"/>
      <c r="VZX248" s="22"/>
      <c r="VZY248" s="22"/>
      <c r="VZZ248" s="22"/>
      <c r="WAA248" s="22"/>
      <c r="WAB248" s="22"/>
      <c r="WAC248" s="22"/>
      <c r="WAD248" s="22"/>
      <c r="WAE248" s="22"/>
      <c r="WAF248" s="22"/>
      <c r="WAG248" s="22"/>
      <c r="WAH248" s="22"/>
      <c r="WAI248" s="22"/>
      <c r="WAJ248" s="22"/>
      <c r="WAK248" s="22"/>
      <c r="WAL248" s="22"/>
      <c r="WAM248" s="22"/>
      <c r="WAN248" s="22"/>
      <c r="WAO248" s="22"/>
      <c r="WAP248" s="22"/>
      <c r="WAQ248" s="22"/>
      <c r="WAR248" s="22"/>
      <c r="WAS248" s="22"/>
      <c r="WAT248" s="22"/>
      <c r="WAU248" s="22"/>
      <c r="WAV248" s="22"/>
      <c r="WAW248" s="22"/>
      <c r="WAX248" s="22"/>
      <c r="WAY248" s="22"/>
      <c r="WAZ248" s="22"/>
      <c r="WBA248" s="22"/>
      <c r="WBB248" s="22"/>
      <c r="WBC248" s="22"/>
      <c r="WBD248" s="22"/>
      <c r="WBE248" s="22"/>
      <c r="WBF248" s="22"/>
      <c r="WBG248" s="22"/>
      <c r="WBH248" s="22"/>
      <c r="WBI248" s="22"/>
      <c r="WBJ248" s="22"/>
      <c r="WBK248" s="22"/>
      <c r="WBL248" s="22"/>
      <c r="WBM248" s="22"/>
      <c r="WBN248" s="22"/>
      <c r="WBO248" s="22"/>
      <c r="WBP248" s="22"/>
      <c r="WBQ248" s="22"/>
      <c r="WBR248" s="22"/>
      <c r="WBS248" s="22"/>
      <c r="WBT248" s="22"/>
      <c r="WBU248" s="22"/>
      <c r="WBV248" s="22"/>
      <c r="WBW248" s="22"/>
      <c r="WBX248" s="22"/>
      <c r="WBY248" s="22"/>
      <c r="WBZ248" s="22"/>
      <c r="WCA248" s="22"/>
      <c r="WCB248" s="22"/>
      <c r="WCC248" s="22"/>
      <c r="WCD248" s="22"/>
      <c r="WCE248" s="22"/>
      <c r="WCF248" s="22"/>
      <c r="WCG248" s="22"/>
      <c r="WCH248" s="22"/>
      <c r="WCI248" s="22"/>
      <c r="WCJ248" s="22"/>
      <c r="WCK248" s="22"/>
      <c r="WCL248" s="22"/>
      <c r="WCM248" s="22"/>
      <c r="WCN248" s="22"/>
      <c r="WCO248" s="22"/>
      <c r="WCP248" s="22"/>
      <c r="WCQ248" s="22"/>
      <c r="WCR248" s="22"/>
      <c r="WCS248" s="22"/>
      <c r="WCT248" s="22"/>
      <c r="WCU248" s="22"/>
      <c r="WCV248" s="22"/>
      <c r="WCW248" s="22"/>
      <c r="WCX248" s="22"/>
      <c r="WCY248" s="22"/>
      <c r="WCZ248" s="22"/>
      <c r="WDA248" s="22"/>
      <c r="WDB248" s="22"/>
      <c r="WDC248" s="22"/>
      <c r="WDD248" s="22"/>
      <c r="WDE248" s="22"/>
      <c r="WDF248" s="22"/>
      <c r="WDG248" s="22"/>
      <c r="WDH248" s="22"/>
      <c r="WDI248" s="22"/>
      <c r="WDJ248" s="22"/>
      <c r="WDK248" s="22"/>
      <c r="WDL248" s="22"/>
      <c r="WDM248" s="22"/>
      <c r="WDN248" s="22"/>
      <c r="WDO248" s="22"/>
      <c r="WDP248" s="22"/>
      <c r="WDQ248" s="22"/>
      <c r="WDR248" s="22"/>
      <c r="WDS248" s="22"/>
      <c r="WDT248" s="22"/>
      <c r="WDU248" s="22"/>
      <c r="WDV248" s="22"/>
      <c r="WDW248" s="22"/>
      <c r="WDX248" s="22"/>
      <c r="WDY248" s="22"/>
      <c r="WDZ248" s="22"/>
      <c r="WEA248" s="22"/>
      <c r="WEB248" s="22"/>
      <c r="WEC248" s="22"/>
      <c r="WED248" s="22"/>
      <c r="WEE248" s="22"/>
      <c r="WEF248" s="22"/>
      <c r="WEG248" s="22"/>
      <c r="WEH248" s="22"/>
      <c r="WEI248" s="22"/>
      <c r="WEJ248" s="22"/>
      <c r="WEK248" s="22"/>
      <c r="WEL248" s="22"/>
      <c r="WEM248" s="22"/>
      <c r="WEN248" s="22"/>
      <c r="WEO248" s="22"/>
      <c r="WEP248" s="22"/>
      <c r="WEQ248" s="22"/>
      <c r="WER248" s="22"/>
      <c r="WES248" s="22"/>
      <c r="WET248" s="22"/>
      <c r="WEU248" s="22"/>
      <c r="WEV248" s="22"/>
      <c r="WEW248" s="22"/>
      <c r="WEX248" s="22"/>
      <c r="WEY248" s="22"/>
      <c r="WEZ248" s="22"/>
      <c r="WFA248" s="22"/>
      <c r="WFB248" s="22"/>
      <c r="WFC248" s="22"/>
      <c r="WFD248" s="22"/>
      <c r="WFE248" s="22"/>
      <c r="WFF248" s="22"/>
      <c r="WFG248" s="22"/>
      <c r="WFH248" s="22"/>
      <c r="WFI248" s="22"/>
      <c r="WFJ248" s="22"/>
      <c r="WFK248" s="22"/>
      <c r="WFL248" s="22"/>
      <c r="WFM248" s="22"/>
      <c r="WFN248" s="22"/>
      <c r="WFO248" s="22"/>
      <c r="WFP248" s="22"/>
      <c r="WFQ248" s="22"/>
      <c r="WFR248" s="22"/>
      <c r="WFS248" s="22"/>
      <c r="WFT248" s="22"/>
      <c r="WFU248" s="22"/>
      <c r="WFV248" s="22"/>
      <c r="WFW248" s="22"/>
      <c r="WFX248" s="22"/>
      <c r="WFY248" s="22"/>
      <c r="WFZ248" s="22"/>
      <c r="WGA248" s="22"/>
      <c r="WGB248" s="22"/>
      <c r="WGC248" s="22"/>
      <c r="WGD248" s="22"/>
      <c r="WGE248" s="22"/>
      <c r="WGF248" s="22"/>
      <c r="WGG248" s="22"/>
      <c r="WGH248" s="22"/>
      <c r="WGI248" s="22"/>
      <c r="WGJ248" s="22"/>
      <c r="WGK248" s="22"/>
      <c r="WGL248" s="22"/>
      <c r="WGM248" s="22"/>
      <c r="WGN248" s="22"/>
      <c r="WGO248" s="22"/>
      <c r="WGP248" s="22"/>
      <c r="WGQ248" s="22"/>
      <c r="WGR248" s="22"/>
      <c r="WGS248" s="22"/>
      <c r="WGT248" s="22"/>
      <c r="WGU248" s="22"/>
      <c r="WGV248" s="22"/>
      <c r="WGW248" s="22"/>
      <c r="WGX248" s="22"/>
      <c r="WGY248" s="22"/>
      <c r="WGZ248" s="22"/>
      <c r="WHA248" s="22"/>
      <c r="WHB248" s="22"/>
      <c r="WHC248" s="22"/>
      <c r="WHD248" s="22"/>
      <c r="WHE248" s="22"/>
      <c r="WHF248" s="22"/>
      <c r="WHG248" s="22"/>
      <c r="WHH248" s="22"/>
      <c r="WHI248" s="22"/>
      <c r="WHJ248" s="22"/>
      <c r="WHK248" s="22"/>
      <c r="WHL248" s="22"/>
      <c r="WHM248" s="22"/>
      <c r="WHN248" s="22"/>
      <c r="WHO248" s="22"/>
      <c r="WHP248" s="22"/>
      <c r="WHQ248" s="22"/>
      <c r="WHR248" s="22"/>
      <c r="WHS248" s="22"/>
      <c r="WHT248" s="22"/>
      <c r="WHU248" s="22"/>
      <c r="WHV248" s="22"/>
      <c r="WHW248" s="22"/>
      <c r="WHX248" s="22"/>
      <c r="WHY248" s="22"/>
      <c r="WHZ248" s="22"/>
      <c r="WIA248" s="22"/>
      <c r="WIB248" s="22"/>
      <c r="WIC248" s="22"/>
      <c r="WID248" s="22"/>
      <c r="WIE248" s="22"/>
      <c r="WIF248" s="22"/>
      <c r="WIG248" s="22"/>
      <c r="WIH248" s="22"/>
      <c r="WII248" s="22"/>
      <c r="WIJ248" s="22"/>
      <c r="WIK248" s="22"/>
      <c r="WIL248" s="22"/>
      <c r="WIM248" s="22"/>
      <c r="WIN248" s="22"/>
      <c r="WIO248" s="22"/>
      <c r="WIP248" s="22"/>
      <c r="WIQ248" s="22"/>
      <c r="WIR248" s="22"/>
      <c r="WIS248" s="22"/>
      <c r="WIT248" s="22"/>
      <c r="WIU248" s="22"/>
      <c r="WIV248" s="22"/>
      <c r="WIW248" s="22"/>
      <c r="WIX248" s="22"/>
      <c r="WIY248" s="22"/>
      <c r="WIZ248" s="22"/>
      <c r="WJA248" s="22"/>
      <c r="WJB248" s="22"/>
      <c r="WJC248" s="22"/>
      <c r="WJD248" s="22"/>
      <c r="WJE248" s="22"/>
      <c r="WJF248" s="22"/>
      <c r="WJG248" s="22"/>
      <c r="WJH248" s="22"/>
      <c r="WJI248" s="22"/>
      <c r="WJJ248" s="22"/>
      <c r="WJK248" s="22"/>
      <c r="WJL248" s="22"/>
      <c r="WJM248" s="22"/>
      <c r="WJN248" s="22"/>
      <c r="WJO248" s="22"/>
      <c r="WJP248" s="22"/>
      <c r="WJQ248" s="22"/>
      <c r="WJR248" s="22"/>
      <c r="WJS248" s="22"/>
      <c r="WJT248" s="22"/>
      <c r="WJU248" s="22"/>
      <c r="WJV248" s="22"/>
      <c r="WJW248" s="22"/>
      <c r="WJX248" s="22"/>
      <c r="WJY248" s="22"/>
      <c r="WJZ248" s="22"/>
      <c r="WKA248" s="22"/>
      <c r="WKB248" s="22"/>
      <c r="WKC248" s="22"/>
      <c r="WKD248" s="22"/>
      <c r="WKE248" s="22"/>
      <c r="WKF248" s="22"/>
      <c r="WKG248" s="22"/>
      <c r="WKH248" s="22"/>
      <c r="WKI248" s="22"/>
      <c r="WKJ248" s="22"/>
      <c r="WKK248" s="22"/>
      <c r="WKL248" s="22"/>
      <c r="WKM248" s="22"/>
      <c r="WKN248" s="22"/>
      <c r="WKO248" s="22"/>
      <c r="WKP248" s="22"/>
      <c r="WKQ248" s="22"/>
      <c r="WKR248" s="22"/>
      <c r="WKS248" s="22"/>
      <c r="WKT248" s="22"/>
      <c r="WKU248" s="22"/>
      <c r="WKV248" s="22"/>
      <c r="WKW248" s="22"/>
      <c r="WKX248" s="22"/>
      <c r="WKY248" s="22"/>
      <c r="WKZ248" s="22"/>
      <c r="WLA248" s="22"/>
      <c r="WLB248" s="22"/>
      <c r="WLC248" s="22"/>
      <c r="WLD248" s="22"/>
      <c r="WLE248" s="22"/>
      <c r="WLF248" s="22"/>
      <c r="WLG248" s="22"/>
      <c r="WLH248" s="22"/>
      <c r="WLI248" s="22"/>
      <c r="WLJ248" s="22"/>
      <c r="WLK248" s="22"/>
      <c r="WLL248" s="22"/>
      <c r="WLM248" s="22"/>
      <c r="WLN248" s="22"/>
      <c r="WLO248" s="22"/>
      <c r="WLP248" s="22"/>
      <c r="WLQ248" s="22"/>
      <c r="WLR248" s="22"/>
      <c r="WLS248" s="22"/>
      <c r="WLT248" s="22"/>
      <c r="WLU248" s="22"/>
      <c r="WLV248" s="22"/>
      <c r="WLW248" s="22"/>
      <c r="WLX248" s="22"/>
      <c r="WLY248" s="22"/>
      <c r="WLZ248" s="22"/>
      <c r="WMA248" s="22"/>
      <c r="WMB248" s="22"/>
      <c r="WMC248" s="22"/>
      <c r="WMD248" s="22"/>
      <c r="WME248" s="22"/>
      <c r="WMF248" s="22"/>
      <c r="WMG248" s="22"/>
      <c r="WMH248" s="22"/>
      <c r="WMI248" s="22"/>
      <c r="WMJ248" s="22"/>
      <c r="WMK248" s="22"/>
      <c r="WML248" s="22"/>
      <c r="WMM248" s="22"/>
      <c r="WMN248" s="22"/>
      <c r="WMO248" s="22"/>
      <c r="WMP248" s="22"/>
      <c r="WMQ248" s="22"/>
      <c r="WMR248" s="22"/>
      <c r="WMS248" s="22"/>
      <c r="WMT248" s="22"/>
      <c r="WMU248" s="22"/>
      <c r="WMV248" s="22"/>
      <c r="WMW248" s="22"/>
      <c r="WMX248" s="22"/>
      <c r="WMY248" s="22"/>
      <c r="WMZ248" s="22"/>
      <c r="WNA248" s="22"/>
      <c r="WNB248" s="22"/>
      <c r="WNC248" s="22"/>
      <c r="WND248" s="22"/>
      <c r="WNE248" s="22"/>
      <c r="WNF248" s="22"/>
      <c r="WNG248" s="22"/>
      <c r="WNH248" s="22"/>
      <c r="WNI248" s="22"/>
      <c r="WNJ248" s="22"/>
      <c r="WNK248" s="22"/>
      <c r="WNL248" s="22"/>
      <c r="WNM248" s="22"/>
      <c r="WNN248" s="22"/>
      <c r="WNO248" s="22"/>
      <c r="WNP248" s="22"/>
      <c r="WNQ248" s="22"/>
      <c r="WNR248" s="22"/>
      <c r="WNS248" s="22"/>
      <c r="WNT248" s="22"/>
      <c r="WNU248" s="22"/>
      <c r="WNV248" s="22"/>
      <c r="WNW248" s="22"/>
      <c r="WNX248" s="22"/>
      <c r="WNY248" s="22"/>
      <c r="WNZ248" s="22"/>
      <c r="WOA248" s="22"/>
      <c r="WOB248" s="22"/>
      <c r="WOC248" s="22"/>
      <c r="WOD248" s="22"/>
      <c r="WOE248" s="22"/>
      <c r="WOF248" s="22"/>
      <c r="WOG248" s="22"/>
      <c r="WOH248" s="22"/>
      <c r="WOI248" s="22"/>
      <c r="WOJ248" s="22"/>
      <c r="WOK248" s="22"/>
      <c r="WOL248" s="22"/>
      <c r="WOM248" s="22"/>
      <c r="WON248" s="22"/>
      <c r="WOO248" s="22"/>
      <c r="WOP248" s="22"/>
      <c r="WOQ248" s="22"/>
      <c r="WOR248" s="22"/>
      <c r="WOS248" s="22"/>
      <c r="WOT248" s="22"/>
      <c r="WOU248" s="22"/>
      <c r="WOV248" s="22"/>
      <c r="WOW248" s="22"/>
      <c r="WOX248" s="22"/>
      <c r="WOY248" s="22"/>
      <c r="WOZ248" s="22"/>
      <c r="WPA248" s="22"/>
      <c r="WPB248" s="22"/>
      <c r="WPC248" s="22"/>
      <c r="WPD248" s="22"/>
      <c r="WPE248" s="22"/>
      <c r="WPF248" s="22"/>
      <c r="WPG248" s="22"/>
      <c r="WPH248" s="22"/>
      <c r="WPI248" s="22"/>
      <c r="WPJ248" s="22"/>
      <c r="WPK248" s="22"/>
      <c r="WPL248" s="22"/>
      <c r="WPM248" s="22"/>
      <c r="WPN248" s="22"/>
      <c r="WPO248" s="22"/>
      <c r="WPP248" s="22"/>
      <c r="WPQ248" s="22"/>
      <c r="WPR248" s="22"/>
      <c r="WPS248" s="22"/>
      <c r="WPT248" s="22"/>
      <c r="WPU248" s="22"/>
      <c r="WPV248" s="22"/>
      <c r="WPW248" s="22"/>
      <c r="WPX248" s="22"/>
      <c r="WPY248" s="22"/>
      <c r="WPZ248" s="22"/>
      <c r="WQA248" s="22"/>
      <c r="WQB248" s="22"/>
      <c r="WQC248" s="22"/>
      <c r="WQD248" s="22"/>
      <c r="WQE248" s="22"/>
      <c r="WQF248" s="22"/>
      <c r="WQG248" s="22"/>
      <c r="WQH248" s="22"/>
      <c r="WQI248" s="22"/>
      <c r="WQJ248" s="22"/>
      <c r="WQK248" s="22"/>
      <c r="WQL248" s="22"/>
      <c r="WQM248" s="22"/>
      <c r="WQN248" s="22"/>
      <c r="WQO248" s="22"/>
      <c r="WQP248" s="22"/>
      <c r="WQQ248" s="22"/>
      <c r="WQR248" s="22"/>
      <c r="WQS248" s="22"/>
      <c r="WQT248" s="22"/>
      <c r="WQU248" s="22"/>
      <c r="WQV248" s="22"/>
      <c r="WQW248" s="22"/>
      <c r="WQX248" s="22"/>
      <c r="WQY248" s="22"/>
      <c r="WQZ248" s="22"/>
      <c r="WRA248" s="22"/>
      <c r="WRB248" s="22"/>
      <c r="WRC248" s="22"/>
      <c r="WRD248" s="22"/>
      <c r="WRE248" s="22"/>
      <c r="WRF248" s="22"/>
      <c r="WRG248" s="22"/>
      <c r="WRH248" s="22"/>
      <c r="WRI248" s="22"/>
      <c r="WRJ248" s="22"/>
      <c r="WRK248" s="22"/>
      <c r="WRL248" s="22"/>
      <c r="WRM248" s="22"/>
      <c r="WRN248" s="22"/>
      <c r="WRO248" s="22"/>
      <c r="WRP248" s="22"/>
      <c r="WRQ248" s="22"/>
      <c r="WRR248" s="22"/>
      <c r="WRS248" s="22"/>
      <c r="WRT248" s="22"/>
      <c r="WRU248" s="22"/>
      <c r="WRV248" s="22"/>
      <c r="WRW248" s="22"/>
      <c r="WRX248" s="22"/>
      <c r="WRY248" s="22"/>
      <c r="WRZ248" s="22"/>
      <c r="WSA248" s="22"/>
      <c r="WSB248" s="22"/>
      <c r="WSC248" s="22"/>
      <c r="WSD248" s="22"/>
      <c r="WSE248" s="22"/>
      <c r="WSF248" s="22"/>
      <c r="WSG248" s="22"/>
      <c r="WSH248" s="22"/>
      <c r="WSI248" s="22"/>
      <c r="WSJ248" s="22"/>
      <c r="WSK248" s="22"/>
      <c r="WSL248" s="22"/>
      <c r="WSM248" s="22"/>
      <c r="WSN248" s="22"/>
      <c r="WSO248" s="22"/>
      <c r="WSP248" s="22"/>
      <c r="WSQ248" s="22"/>
      <c r="WSR248" s="22"/>
      <c r="WSS248" s="22"/>
      <c r="WST248" s="22"/>
      <c r="WSU248" s="22"/>
      <c r="WSV248" s="22"/>
      <c r="WSW248" s="22"/>
      <c r="WSX248" s="22"/>
      <c r="WSY248" s="22"/>
      <c r="WSZ248" s="22"/>
      <c r="WTA248" s="22"/>
      <c r="WTB248" s="22"/>
      <c r="WTC248" s="22"/>
      <c r="WTD248" s="22"/>
      <c r="WTE248" s="22"/>
      <c r="WTF248" s="22"/>
      <c r="WTG248" s="22"/>
      <c r="WTH248" s="22"/>
      <c r="WTI248" s="22"/>
      <c r="WTJ248" s="22"/>
      <c r="WTK248" s="22"/>
      <c r="WTL248" s="22"/>
      <c r="WTM248" s="22"/>
      <c r="WTN248" s="22"/>
      <c r="WTO248" s="22"/>
      <c r="WTP248" s="22"/>
      <c r="WTQ248" s="22"/>
      <c r="WTR248" s="22"/>
      <c r="WTS248" s="22"/>
      <c r="WTT248" s="22"/>
      <c r="WTU248" s="22"/>
      <c r="WTV248" s="22"/>
      <c r="WTW248" s="22"/>
      <c r="WTX248" s="22"/>
      <c r="WTY248" s="22"/>
      <c r="WTZ248" s="22"/>
      <c r="WUA248" s="22"/>
      <c r="WUB248" s="22"/>
      <c r="WUC248" s="22"/>
      <c r="WUD248" s="22"/>
      <c r="WUE248" s="22"/>
      <c r="WUF248" s="22"/>
      <c r="WUG248" s="22"/>
      <c r="WUH248" s="22"/>
      <c r="WUI248" s="22"/>
      <c r="WUJ248" s="22"/>
      <c r="WUK248" s="22"/>
      <c r="WUL248" s="22"/>
      <c r="WUM248" s="22"/>
      <c r="WUN248" s="22"/>
      <c r="WUO248" s="22"/>
      <c r="WUP248" s="22"/>
      <c r="WUQ248" s="22"/>
      <c r="WUR248" s="22"/>
      <c r="WUS248" s="22"/>
      <c r="WUT248" s="22"/>
      <c r="WUU248" s="22"/>
      <c r="WUV248" s="22"/>
      <c r="WUW248" s="22"/>
      <c r="WUX248" s="22"/>
      <c r="WUY248" s="22"/>
      <c r="WUZ248" s="22"/>
      <c r="WVA248" s="22"/>
      <c r="WVB248" s="22"/>
      <c r="WVC248" s="22"/>
      <c r="WVD248" s="22"/>
      <c r="WVE248" s="22"/>
      <c r="WVF248" s="22"/>
      <c r="WVG248" s="22"/>
      <c r="WVH248" s="22"/>
      <c r="WVI248" s="22"/>
      <c r="WVJ248" s="22"/>
      <c r="WVK248" s="22"/>
      <c r="WVL248" s="22"/>
      <c r="WVM248" s="22"/>
      <c r="WVN248" s="22"/>
      <c r="WVO248" s="22"/>
      <c r="WVP248" s="22"/>
      <c r="WVQ248" s="22"/>
      <c r="WVR248" s="22"/>
      <c r="WVS248" s="22"/>
      <c r="WVT248" s="22"/>
      <c r="WVU248" s="22"/>
      <c r="WVV248" s="22"/>
      <c r="WVW248" s="22"/>
      <c r="WVX248" s="22"/>
      <c r="WVY248" s="22"/>
      <c r="WVZ248" s="22"/>
      <c r="WWA248" s="22"/>
      <c r="WWB248" s="22"/>
      <c r="WWC248" s="22"/>
      <c r="WWD248" s="22"/>
      <c r="WWE248" s="22"/>
      <c r="WWF248" s="22"/>
      <c r="WWG248" s="22"/>
      <c r="WWH248" s="22"/>
      <c r="WWI248" s="22"/>
      <c r="WWJ248" s="22"/>
      <c r="WWK248" s="22"/>
      <c r="WWL248" s="22"/>
      <c r="WWM248" s="22"/>
      <c r="WWN248" s="22"/>
      <c r="WWO248" s="22"/>
      <c r="WWP248" s="22"/>
      <c r="WWQ248" s="22"/>
      <c r="WWR248" s="22"/>
      <c r="WWS248" s="22"/>
      <c r="WWT248" s="22"/>
      <c r="WWU248" s="22"/>
      <c r="WWV248" s="22"/>
      <c r="WWW248" s="22"/>
      <c r="WWX248" s="22"/>
      <c r="WWY248" s="22"/>
      <c r="WWZ248" s="22"/>
      <c r="WXA248" s="22"/>
      <c r="WXB248" s="22"/>
      <c r="WXC248" s="22"/>
      <c r="WXD248" s="22"/>
      <c r="WXE248" s="22"/>
      <c r="WXF248" s="22"/>
      <c r="WXG248" s="22"/>
      <c r="WXH248" s="22"/>
      <c r="WXI248" s="22"/>
      <c r="WXJ248" s="22"/>
      <c r="WXK248" s="22"/>
      <c r="WXL248" s="22"/>
      <c r="WXM248" s="22"/>
      <c r="WXN248" s="22"/>
      <c r="WXO248" s="22"/>
      <c r="WXP248" s="22"/>
      <c r="WXQ248" s="22"/>
      <c r="WXR248" s="22"/>
      <c r="WXS248" s="22"/>
      <c r="WXT248" s="22"/>
      <c r="WXU248" s="22"/>
      <c r="WXV248" s="22"/>
      <c r="WXW248" s="22"/>
      <c r="WXX248" s="22"/>
      <c r="WXY248" s="22"/>
      <c r="WXZ248" s="22"/>
      <c r="WYA248" s="22"/>
      <c r="WYB248" s="22"/>
      <c r="WYC248" s="22"/>
      <c r="WYD248" s="22"/>
      <c r="WYE248" s="22"/>
      <c r="WYF248" s="22"/>
      <c r="WYG248" s="22"/>
      <c r="WYH248" s="22"/>
      <c r="WYI248" s="22"/>
      <c r="WYJ248" s="22"/>
      <c r="WYK248" s="22"/>
      <c r="WYL248" s="22"/>
      <c r="WYM248" s="22"/>
      <c r="WYN248" s="22"/>
      <c r="WYO248" s="22"/>
      <c r="WYP248" s="22"/>
      <c r="WYQ248" s="22"/>
      <c r="WYR248" s="22"/>
      <c r="WYS248" s="22"/>
      <c r="WYT248" s="22"/>
      <c r="WYU248" s="22"/>
      <c r="WYV248" s="22"/>
      <c r="WYW248" s="22"/>
      <c r="WYX248" s="22"/>
      <c r="WYY248" s="22"/>
      <c r="WYZ248" s="22"/>
      <c r="WZA248" s="22"/>
      <c r="WZB248" s="22"/>
      <c r="WZC248" s="22"/>
      <c r="WZD248" s="22"/>
      <c r="WZE248" s="22"/>
      <c r="WZF248" s="22"/>
      <c r="WZG248" s="22"/>
      <c r="WZH248" s="22"/>
      <c r="WZI248" s="22"/>
      <c r="WZJ248" s="22"/>
      <c r="WZK248" s="22"/>
      <c r="WZL248" s="22"/>
      <c r="WZM248" s="22"/>
      <c r="WZN248" s="22"/>
      <c r="WZO248" s="22"/>
      <c r="WZP248" s="22"/>
      <c r="WZQ248" s="22"/>
      <c r="WZR248" s="22"/>
      <c r="WZS248" s="22"/>
      <c r="WZT248" s="22"/>
      <c r="WZU248" s="22"/>
      <c r="WZV248" s="22"/>
      <c r="WZW248" s="22"/>
      <c r="WZX248" s="22"/>
      <c r="WZY248" s="22"/>
      <c r="WZZ248" s="22"/>
      <c r="XAA248" s="22"/>
      <c r="XAB248" s="22"/>
      <c r="XAC248" s="22"/>
      <c r="XAD248" s="22"/>
      <c r="XAE248" s="22"/>
      <c r="XAF248" s="22"/>
      <c r="XAG248" s="22"/>
      <c r="XAH248" s="22"/>
      <c r="XAI248" s="22"/>
      <c r="XAJ248" s="22"/>
      <c r="XAK248" s="22"/>
      <c r="XAL248" s="22"/>
      <c r="XAM248" s="22"/>
      <c r="XAN248" s="22"/>
      <c r="XAO248" s="22"/>
      <c r="XAP248" s="22"/>
      <c r="XAQ248" s="22"/>
      <c r="XAR248" s="22"/>
      <c r="XAS248" s="22"/>
      <c r="XAT248" s="22"/>
      <c r="XAU248" s="22"/>
      <c r="XAV248" s="22"/>
      <c r="XAW248" s="22"/>
      <c r="XAX248" s="22"/>
      <c r="XAY248" s="22"/>
      <c r="XAZ248" s="22"/>
      <c r="XBA248" s="22"/>
      <c r="XBB248" s="22"/>
      <c r="XBC248" s="22"/>
      <c r="XBD248" s="22"/>
      <c r="XBE248" s="22"/>
      <c r="XBF248" s="22"/>
      <c r="XBG248" s="22"/>
      <c r="XBH248" s="22"/>
      <c r="XBI248" s="22"/>
      <c r="XBJ248" s="22"/>
      <c r="XBK248" s="22"/>
      <c r="XBL248" s="22"/>
      <c r="XBM248" s="22"/>
      <c r="XBN248" s="22"/>
      <c r="XBO248" s="22"/>
      <c r="XBP248" s="22"/>
      <c r="XBQ248" s="22"/>
      <c r="XBR248" s="22"/>
      <c r="XBS248" s="22"/>
      <c r="XBT248" s="22"/>
      <c r="XBU248" s="22"/>
      <c r="XBV248" s="22"/>
      <c r="XBW248" s="22"/>
      <c r="XBX248" s="22"/>
      <c r="XBY248" s="22"/>
      <c r="XBZ248" s="22"/>
      <c r="XCA248" s="22"/>
      <c r="XCB248" s="22"/>
      <c r="XCC248" s="22"/>
      <c r="XCD248" s="22"/>
      <c r="XCE248" s="22"/>
      <c r="XCF248" s="22"/>
      <c r="XCG248" s="22"/>
      <c r="XCH248" s="22"/>
      <c r="XCI248" s="22"/>
      <c r="XCJ248" s="22"/>
      <c r="XCK248" s="22"/>
      <c r="XCL248" s="22"/>
      <c r="XCM248" s="22"/>
      <c r="XCN248" s="22"/>
      <c r="XCO248" s="22"/>
      <c r="XCP248" s="22"/>
      <c r="XCQ248" s="22"/>
      <c r="XCR248" s="22"/>
      <c r="XCS248" s="22"/>
      <c r="XCT248" s="22"/>
      <c r="XCU248" s="22"/>
      <c r="XCV248" s="22"/>
      <c r="XCW248" s="22"/>
      <c r="XCX248" s="22"/>
      <c r="XCY248" s="22"/>
      <c r="XCZ248" s="22"/>
      <c r="XDA248" s="22"/>
      <c r="XDB248" s="22"/>
      <c r="XDC248" s="22"/>
      <c r="XDD248" s="22"/>
      <c r="XDE248" s="22"/>
      <c r="XDF248" s="22"/>
      <c r="XDG248" s="22"/>
      <c r="XDH248" s="22"/>
      <c r="XDI248" s="22"/>
      <c r="XDJ248" s="22"/>
      <c r="XDK248" s="22"/>
      <c r="XDL248" s="22"/>
      <c r="XDM248" s="22"/>
      <c r="XDN248" s="22"/>
      <c r="XDO248" s="22"/>
      <c r="XDP248" s="22"/>
      <c r="XDQ248" s="22"/>
      <c r="XDR248" s="22"/>
      <c r="XDS248" s="22"/>
      <c r="XDT248" s="22"/>
      <c r="XDU248" s="22"/>
      <c r="XDV248" s="22"/>
      <c r="XDW248" s="22"/>
      <c r="XDX248" s="22"/>
      <c r="XDY248" s="22"/>
      <c r="XDZ248" s="22"/>
      <c r="XEA248" s="22"/>
      <c r="XEB248" s="22"/>
      <c r="XEC248" s="22"/>
      <c r="XED248" s="22"/>
      <c r="XEE248" s="22"/>
      <c r="XEF248" s="22"/>
      <c r="XEG248" s="22"/>
      <c r="XEH248" s="22"/>
      <c r="XEI248" s="22"/>
      <c r="XEJ248" s="22"/>
      <c r="XEK248" s="22"/>
      <c r="XEL248" s="22"/>
      <c r="XEM248" s="22"/>
      <c r="XEN248" s="22"/>
      <c r="XEO248" s="22"/>
      <c r="XEP248" s="22"/>
      <c r="XEQ248" s="22"/>
      <c r="XER248" s="22"/>
      <c r="XES248" s="22"/>
      <c r="XET248" s="22"/>
      <c r="XEU248" s="22"/>
      <c r="XEV248" s="22"/>
      <c r="XEW248" s="22"/>
      <c r="XEX248" s="22"/>
      <c r="XEY248" s="22"/>
      <c r="XEZ248" s="22"/>
      <c r="XFA248" s="22"/>
      <c r="XFB248" s="22"/>
      <c r="XFC248" s="22"/>
      <c r="XFD248" s="22"/>
    </row>
    <row r="249" spans="1:16384" s="6" customFormat="1">
      <c r="A249" s="1" t="s">
        <v>584</v>
      </c>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c r="CW249" s="22"/>
      <c r="CX249" s="22"/>
      <c r="CY249" s="22"/>
      <c r="CZ249" s="22"/>
      <c r="DA249" s="22"/>
      <c r="DB249" s="22"/>
      <c r="DC249" s="22"/>
      <c r="DD249" s="22"/>
      <c r="DE249" s="22"/>
      <c r="DF249" s="22"/>
      <c r="DG249" s="22"/>
      <c r="DH249" s="22"/>
      <c r="DI249" s="22"/>
      <c r="DJ249" s="22"/>
      <c r="DK249" s="22"/>
      <c r="DL249" s="22"/>
      <c r="DM249" s="22"/>
      <c r="DN249" s="22"/>
      <c r="DO249" s="22"/>
      <c r="DP249" s="22"/>
      <c r="DQ249" s="22"/>
      <c r="DR249" s="22"/>
      <c r="DS249" s="22"/>
      <c r="DT249" s="22"/>
      <c r="DU249" s="22"/>
      <c r="DV249" s="22"/>
      <c r="DW249" s="22"/>
      <c r="DX249" s="22"/>
      <c r="DY249" s="22"/>
      <c r="DZ249" s="22"/>
      <c r="EA249" s="22"/>
      <c r="EB249" s="22"/>
      <c r="EC249" s="22"/>
      <c r="ED249" s="22"/>
      <c r="EE249" s="22"/>
      <c r="EF249" s="22"/>
      <c r="EG249" s="22"/>
      <c r="EH249" s="22"/>
      <c r="EI249" s="22"/>
      <c r="EJ249" s="22"/>
      <c r="EK249" s="22"/>
      <c r="EL249" s="22"/>
      <c r="EM249" s="22"/>
      <c r="EN249" s="22"/>
      <c r="EO249" s="22"/>
      <c r="EP249" s="22"/>
      <c r="EQ249" s="22"/>
      <c r="ER249" s="22"/>
      <c r="ES249" s="22"/>
      <c r="ET249" s="22"/>
      <c r="EU249" s="22"/>
      <c r="EV249" s="22"/>
      <c r="EW249" s="22"/>
      <c r="EX249" s="22"/>
      <c r="EY249" s="22"/>
      <c r="EZ249" s="22"/>
      <c r="FA249" s="22"/>
      <c r="FB249" s="22"/>
      <c r="FC249" s="22"/>
      <c r="FD249" s="22"/>
      <c r="FE249" s="22"/>
      <c r="FF249" s="22"/>
      <c r="FG249" s="22"/>
      <c r="FH249" s="22"/>
      <c r="FI249" s="22"/>
      <c r="FJ249" s="22"/>
      <c r="FK249" s="22"/>
      <c r="FL249" s="22"/>
      <c r="FM249" s="22"/>
      <c r="FN249" s="22"/>
      <c r="FO249" s="22"/>
      <c r="FP249" s="22"/>
      <c r="FQ249" s="22"/>
      <c r="FR249" s="22"/>
      <c r="FS249" s="22"/>
      <c r="FT249" s="22"/>
      <c r="FU249" s="22"/>
      <c r="FV249" s="22"/>
      <c r="FW249" s="22"/>
      <c r="FX249" s="22"/>
      <c r="FY249" s="22"/>
      <c r="FZ249" s="22"/>
      <c r="GA249" s="22"/>
      <c r="GB249" s="22"/>
      <c r="GC249" s="22"/>
      <c r="GD249" s="22"/>
      <c r="GE249" s="22"/>
      <c r="GF249" s="22"/>
      <c r="GG249" s="22"/>
      <c r="GH249" s="22"/>
      <c r="GI249" s="22"/>
      <c r="GJ249" s="22"/>
      <c r="GK249" s="22"/>
      <c r="GL249" s="22"/>
      <c r="GM249" s="22"/>
      <c r="GN249" s="22"/>
      <c r="GO249" s="22"/>
      <c r="GP249" s="22"/>
      <c r="GQ249" s="22"/>
      <c r="GR249" s="22"/>
      <c r="GS249" s="22"/>
      <c r="GT249" s="22"/>
      <c r="GU249" s="22"/>
      <c r="GV249" s="22"/>
      <c r="GW249" s="22"/>
      <c r="GX249" s="22"/>
      <c r="GY249" s="22"/>
      <c r="GZ249" s="22"/>
      <c r="HA249" s="22"/>
      <c r="HB249" s="22"/>
      <c r="HC249" s="22"/>
      <c r="HD249" s="22"/>
      <c r="HE249" s="22"/>
      <c r="HF249" s="22"/>
      <c r="HG249" s="22"/>
      <c r="HH249" s="22"/>
      <c r="HI249" s="22"/>
      <c r="HJ249" s="22"/>
      <c r="HK249" s="22"/>
      <c r="HL249" s="22"/>
      <c r="HM249" s="22"/>
      <c r="HN249" s="22"/>
      <c r="HO249" s="22"/>
      <c r="HP249" s="22"/>
      <c r="HQ249" s="22"/>
      <c r="HR249" s="22"/>
      <c r="HS249" s="22"/>
      <c r="HT249" s="22"/>
      <c r="HU249" s="22"/>
      <c r="HV249" s="22"/>
      <c r="HW249" s="22"/>
      <c r="HX249" s="22"/>
      <c r="HY249" s="22"/>
      <c r="HZ249" s="22"/>
      <c r="IA249" s="22"/>
      <c r="IB249" s="22"/>
      <c r="IC249" s="22"/>
      <c r="ID249" s="22"/>
      <c r="IE249" s="22"/>
      <c r="IF249" s="22"/>
      <c r="IG249" s="22"/>
      <c r="IH249" s="22"/>
      <c r="II249" s="22"/>
      <c r="IJ249" s="22"/>
      <c r="IK249" s="22"/>
      <c r="IL249" s="22"/>
      <c r="IM249" s="22"/>
      <c r="IN249" s="22"/>
      <c r="IO249" s="22"/>
      <c r="IP249" s="22"/>
      <c r="IQ249" s="22"/>
      <c r="IR249" s="22"/>
      <c r="IS249" s="22"/>
      <c r="IT249" s="22"/>
      <c r="IU249" s="22"/>
      <c r="IV249" s="22"/>
      <c r="IW249" s="22"/>
      <c r="IX249" s="22"/>
      <c r="IY249" s="22"/>
      <c r="IZ249" s="22"/>
      <c r="JA249" s="22"/>
      <c r="JB249" s="22"/>
      <c r="JC249" s="22"/>
      <c r="JD249" s="22"/>
      <c r="JE249" s="22"/>
      <c r="JF249" s="22"/>
      <c r="JG249" s="22"/>
      <c r="JH249" s="22"/>
      <c r="JI249" s="22"/>
      <c r="JJ249" s="22"/>
      <c r="JK249" s="22"/>
      <c r="JL249" s="22"/>
      <c r="JM249" s="22"/>
      <c r="JN249" s="22"/>
      <c r="JO249" s="22"/>
      <c r="JP249" s="22"/>
      <c r="JQ249" s="22"/>
      <c r="JR249" s="22"/>
      <c r="JS249" s="22"/>
      <c r="JT249" s="22"/>
      <c r="JU249" s="22"/>
      <c r="JV249" s="22"/>
      <c r="JW249" s="22"/>
      <c r="JX249" s="22"/>
      <c r="JY249" s="22"/>
      <c r="JZ249" s="22"/>
      <c r="KA249" s="22"/>
      <c r="KB249" s="22"/>
      <c r="KC249" s="22"/>
      <c r="KD249" s="22"/>
      <c r="KE249" s="22"/>
      <c r="KF249" s="22"/>
      <c r="KG249" s="22"/>
      <c r="KH249" s="22"/>
      <c r="KI249" s="22"/>
      <c r="KJ249" s="22"/>
      <c r="KK249" s="22"/>
      <c r="KL249" s="22"/>
      <c r="KM249" s="22"/>
      <c r="KN249" s="22"/>
      <c r="KO249" s="22"/>
      <c r="KP249" s="22"/>
      <c r="KQ249" s="22"/>
      <c r="KR249" s="22"/>
      <c r="KS249" s="22"/>
      <c r="KT249" s="22"/>
      <c r="KU249" s="22"/>
      <c r="KV249" s="22"/>
      <c r="KW249" s="22"/>
      <c r="KX249" s="22"/>
      <c r="KY249" s="22"/>
      <c r="KZ249" s="22"/>
      <c r="LA249" s="22"/>
      <c r="LB249" s="22"/>
      <c r="LC249" s="22"/>
      <c r="LD249" s="22"/>
      <c r="LE249" s="22"/>
      <c r="LF249" s="22"/>
      <c r="LG249" s="22"/>
      <c r="LH249" s="22"/>
      <c r="LI249" s="22"/>
      <c r="LJ249" s="22"/>
      <c r="LK249" s="22"/>
      <c r="LL249" s="22"/>
      <c r="LM249" s="22"/>
      <c r="LN249" s="22"/>
      <c r="LO249" s="22"/>
      <c r="LP249" s="22"/>
      <c r="LQ249" s="22"/>
      <c r="LR249" s="22"/>
      <c r="LS249" s="22"/>
      <c r="LT249" s="22"/>
      <c r="LU249" s="22"/>
      <c r="LV249" s="22"/>
      <c r="LW249" s="22"/>
      <c r="LX249" s="22"/>
      <c r="LY249" s="22"/>
      <c r="LZ249" s="22"/>
      <c r="MA249" s="22"/>
      <c r="MB249" s="22"/>
      <c r="MC249" s="22"/>
      <c r="MD249" s="22"/>
      <c r="ME249" s="22"/>
      <c r="MF249" s="22"/>
      <c r="MG249" s="22"/>
      <c r="MH249" s="22"/>
      <c r="MI249" s="22"/>
      <c r="MJ249" s="22"/>
      <c r="MK249" s="22"/>
      <c r="ML249" s="22"/>
      <c r="MM249" s="22"/>
      <c r="MN249" s="22"/>
      <c r="MO249" s="22"/>
      <c r="MP249" s="22"/>
      <c r="MQ249" s="22"/>
      <c r="MR249" s="22"/>
      <c r="MS249" s="22"/>
      <c r="MT249" s="22"/>
      <c r="MU249" s="22"/>
      <c r="MV249" s="22"/>
      <c r="MW249" s="22"/>
      <c r="MX249" s="22"/>
      <c r="MY249" s="22"/>
      <c r="MZ249" s="22"/>
      <c r="NA249" s="22"/>
      <c r="NB249" s="22"/>
      <c r="NC249" s="22"/>
      <c r="ND249" s="22"/>
      <c r="NE249" s="22"/>
      <c r="NF249" s="22"/>
      <c r="NG249" s="22"/>
      <c r="NH249" s="22"/>
      <c r="NI249" s="22"/>
      <c r="NJ249" s="22"/>
      <c r="NK249" s="22"/>
      <c r="NL249" s="22"/>
      <c r="NM249" s="22"/>
      <c r="NN249" s="22"/>
      <c r="NO249" s="22"/>
      <c r="NP249" s="22"/>
      <c r="NQ249" s="22"/>
      <c r="NR249" s="22"/>
      <c r="NS249" s="22"/>
      <c r="NT249" s="22"/>
      <c r="NU249" s="22"/>
      <c r="NV249" s="22"/>
      <c r="NW249" s="22"/>
      <c r="NX249" s="22"/>
      <c r="NY249" s="22"/>
      <c r="NZ249" s="22"/>
      <c r="OA249" s="22"/>
      <c r="OB249" s="22"/>
      <c r="OC249" s="22"/>
      <c r="OD249" s="22"/>
      <c r="OE249" s="22"/>
      <c r="OF249" s="22"/>
      <c r="OG249" s="22"/>
      <c r="OH249" s="22"/>
      <c r="OI249" s="22"/>
      <c r="OJ249" s="22"/>
      <c r="OK249" s="22"/>
      <c r="OL249" s="22"/>
      <c r="OM249" s="22"/>
      <c r="ON249" s="22"/>
      <c r="OO249" s="22"/>
      <c r="OP249" s="22"/>
      <c r="OQ249" s="22"/>
      <c r="OR249" s="22"/>
      <c r="OS249" s="22"/>
      <c r="OT249" s="22"/>
      <c r="OU249" s="22"/>
      <c r="OV249" s="22"/>
      <c r="OW249" s="22"/>
      <c r="OX249" s="22"/>
      <c r="OY249" s="22"/>
      <c r="OZ249" s="22"/>
      <c r="PA249" s="22"/>
      <c r="PB249" s="22"/>
      <c r="PC249" s="22"/>
      <c r="PD249" s="22"/>
      <c r="PE249" s="22"/>
      <c r="PF249" s="22"/>
      <c r="PG249" s="22"/>
      <c r="PH249" s="22"/>
      <c r="PI249" s="22"/>
      <c r="PJ249" s="22"/>
      <c r="PK249" s="22"/>
      <c r="PL249" s="22"/>
      <c r="PM249" s="22"/>
      <c r="PN249" s="22"/>
      <c r="PO249" s="22"/>
      <c r="PP249" s="22"/>
      <c r="PQ249" s="22"/>
      <c r="PR249" s="22"/>
      <c r="PS249" s="22"/>
      <c r="PT249" s="22"/>
      <c r="PU249" s="22"/>
      <c r="PV249" s="22"/>
      <c r="PW249" s="22"/>
      <c r="PX249" s="22"/>
      <c r="PY249" s="22"/>
      <c r="PZ249" s="22"/>
      <c r="QA249" s="22"/>
      <c r="QB249" s="22"/>
      <c r="QC249" s="22"/>
      <c r="QD249" s="22"/>
      <c r="QE249" s="22"/>
      <c r="QF249" s="22"/>
      <c r="QG249" s="22"/>
      <c r="QH249" s="22"/>
      <c r="QI249" s="22"/>
      <c r="QJ249" s="22"/>
      <c r="QK249" s="22"/>
      <c r="QL249" s="22"/>
      <c r="QM249" s="22"/>
      <c r="QN249" s="22"/>
      <c r="QO249" s="22"/>
      <c r="QP249" s="22"/>
      <c r="QQ249" s="22"/>
      <c r="QR249" s="22"/>
      <c r="QS249" s="22"/>
      <c r="QT249" s="22"/>
      <c r="QU249" s="22"/>
      <c r="QV249" s="22"/>
      <c r="QW249" s="22"/>
      <c r="QX249" s="22"/>
      <c r="QY249" s="22"/>
      <c r="QZ249" s="22"/>
      <c r="RA249" s="22"/>
      <c r="RB249" s="22"/>
      <c r="RC249" s="22"/>
      <c r="RD249" s="22"/>
      <c r="RE249" s="22"/>
      <c r="RF249" s="22"/>
      <c r="RG249" s="22"/>
      <c r="RH249" s="22"/>
      <c r="RI249" s="22"/>
      <c r="RJ249" s="22"/>
      <c r="RK249" s="22"/>
      <c r="RL249" s="22"/>
      <c r="RM249" s="22"/>
      <c r="RN249" s="22"/>
      <c r="RO249" s="22"/>
      <c r="RP249" s="22"/>
      <c r="RQ249" s="22"/>
      <c r="RR249" s="22"/>
      <c r="RS249" s="22"/>
      <c r="RT249" s="22"/>
      <c r="RU249" s="22"/>
      <c r="RV249" s="22"/>
      <c r="RW249" s="22"/>
      <c r="RX249" s="22"/>
      <c r="RY249" s="22"/>
      <c r="RZ249" s="22"/>
      <c r="SA249" s="22"/>
      <c r="SB249" s="22"/>
      <c r="SC249" s="22"/>
      <c r="SD249" s="22"/>
      <c r="SE249" s="22"/>
      <c r="SF249" s="22"/>
      <c r="SG249" s="22"/>
      <c r="SH249" s="22"/>
      <c r="SI249" s="22"/>
      <c r="SJ249" s="22"/>
      <c r="SK249" s="22"/>
      <c r="SL249" s="22"/>
      <c r="SM249" s="22"/>
      <c r="SN249" s="22"/>
      <c r="SO249" s="22"/>
      <c r="SP249" s="22"/>
      <c r="SQ249" s="22"/>
      <c r="SR249" s="22"/>
      <c r="SS249" s="22"/>
      <c r="ST249" s="22"/>
      <c r="SU249" s="22"/>
      <c r="SV249" s="22"/>
      <c r="SW249" s="22"/>
      <c r="SX249" s="22"/>
      <c r="SY249" s="22"/>
      <c r="SZ249" s="22"/>
      <c r="TA249" s="22"/>
      <c r="TB249" s="22"/>
      <c r="TC249" s="22"/>
      <c r="TD249" s="22"/>
      <c r="TE249" s="22"/>
      <c r="TF249" s="22"/>
      <c r="TG249" s="22"/>
      <c r="TH249" s="22"/>
      <c r="TI249" s="22"/>
      <c r="TJ249" s="22"/>
      <c r="TK249" s="22"/>
      <c r="TL249" s="22"/>
      <c r="TM249" s="22"/>
      <c r="TN249" s="22"/>
      <c r="TO249" s="22"/>
      <c r="TP249" s="22"/>
      <c r="TQ249" s="22"/>
      <c r="TR249" s="22"/>
      <c r="TS249" s="22"/>
      <c r="TT249" s="22"/>
      <c r="TU249" s="22"/>
      <c r="TV249" s="22"/>
      <c r="TW249" s="22"/>
      <c r="TX249" s="22"/>
      <c r="TY249" s="22"/>
      <c r="TZ249" s="22"/>
      <c r="UA249" s="22"/>
      <c r="UB249" s="22"/>
      <c r="UC249" s="22"/>
      <c r="UD249" s="22"/>
      <c r="UE249" s="22"/>
      <c r="UF249" s="22"/>
      <c r="UG249" s="22"/>
      <c r="UH249" s="22"/>
      <c r="UI249" s="22"/>
      <c r="UJ249" s="22"/>
      <c r="UK249" s="22"/>
      <c r="UL249" s="22"/>
      <c r="UM249" s="22"/>
      <c r="UN249" s="22"/>
      <c r="UO249" s="22"/>
      <c r="UP249" s="22"/>
      <c r="UQ249" s="22"/>
      <c r="UR249" s="22"/>
      <c r="US249" s="22"/>
      <c r="UT249" s="22"/>
      <c r="UU249" s="22"/>
      <c r="UV249" s="22"/>
      <c r="UW249" s="22"/>
      <c r="UX249" s="22"/>
      <c r="UY249" s="22"/>
      <c r="UZ249" s="22"/>
      <c r="VA249" s="22"/>
      <c r="VB249" s="22"/>
      <c r="VC249" s="22"/>
      <c r="VD249" s="22"/>
      <c r="VE249" s="22"/>
      <c r="VF249" s="22"/>
      <c r="VG249" s="22"/>
      <c r="VH249" s="22"/>
      <c r="VI249" s="22"/>
      <c r="VJ249" s="22"/>
      <c r="VK249" s="22"/>
      <c r="VL249" s="22"/>
      <c r="VM249" s="22"/>
      <c r="VN249" s="22"/>
      <c r="VO249" s="22"/>
      <c r="VP249" s="22"/>
      <c r="VQ249" s="22"/>
      <c r="VR249" s="22"/>
      <c r="VS249" s="22"/>
      <c r="VT249" s="22"/>
      <c r="VU249" s="22"/>
      <c r="VV249" s="22"/>
      <c r="VW249" s="22"/>
      <c r="VX249" s="22"/>
      <c r="VY249" s="22"/>
      <c r="VZ249" s="22"/>
      <c r="WA249" s="22"/>
      <c r="WB249" s="22"/>
      <c r="WC249" s="22"/>
      <c r="WD249" s="22"/>
      <c r="WE249" s="22"/>
      <c r="WF249" s="22"/>
      <c r="WG249" s="22"/>
      <c r="WH249" s="22"/>
      <c r="WI249" s="22"/>
      <c r="WJ249" s="22"/>
      <c r="WK249" s="22"/>
      <c r="WL249" s="22"/>
      <c r="WM249" s="22"/>
      <c r="WN249" s="22"/>
      <c r="WO249" s="22"/>
      <c r="WP249" s="22"/>
      <c r="WQ249" s="22"/>
      <c r="WR249" s="22"/>
      <c r="WS249" s="22"/>
      <c r="WT249" s="22"/>
      <c r="WU249" s="22"/>
      <c r="WV249" s="22"/>
      <c r="WW249" s="22"/>
      <c r="WX249" s="22"/>
      <c r="WY249" s="22"/>
      <c r="WZ249" s="22"/>
      <c r="XA249" s="22"/>
      <c r="XB249" s="22"/>
      <c r="XC249" s="22"/>
      <c r="XD249" s="22"/>
      <c r="XE249" s="22"/>
      <c r="XF249" s="22"/>
      <c r="XG249" s="22"/>
      <c r="XH249" s="22"/>
      <c r="XI249" s="22"/>
      <c r="XJ249" s="22"/>
      <c r="XK249" s="22"/>
      <c r="XL249" s="22"/>
      <c r="XM249" s="22"/>
      <c r="XN249" s="22"/>
      <c r="XO249" s="22"/>
      <c r="XP249" s="22"/>
      <c r="XQ249" s="22"/>
      <c r="XR249" s="22"/>
      <c r="XS249" s="22"/>
      <c r="XT249" s="22"/>
      <c r="XU249" s="22"/>
      <c r="XV249" s="22"/>
      <c r="XW249" s="22"/>
      <c r="XX249" s="22"/>
      <c r="XY249" s="22"/>
      <c r="XZ249" s="22"/>
      <c r="YA249" s="22"/>
      <c r="YB249" s="22"/>
      <c r="YC249" s="22"/>
      <c r="YD249" s="22"/>
      <c r="YE249" s="22"/>
      <c r="YF249" s="22"/>
      <c r="YG249" s="22"/>
      <c r="YH249" s="22"/>
      <c r="YI249" s="22"/>
      <c r="YJ249" s="22"/>
      <c r="YK249" s="22"/>
      <c r="YL249" s="22"/>
      <c r="YM249" s="22"/>
      <c r="YN249" s="22"/>
      <c r="YO249" s="22"/>
      <c r="YP249" s="22"/>
      <c r="YQ249" s="22"/>
      <c r="YR249" s="22"/>
      <c r="YS249" s="22"/>
      <c r="YT249" s="22"/>
      <c r="YU249" s="22"/>
      <c r="YV249" s="22"/>
      <c r="YW249" s="22"/>
      <c r="YX249" s="22"/>
      <c r="YY249" s="22"/>
      <c r="YZ249" s="22"/>
      <c r="ZA249" s="22"/>
      <c r="ZB249" s="22"/>
      <c r="ZC249" s="22"/>
      <c r="ZD249" s="22"/>
      <c r="ZE249" s="22"/>
      <c r="ZF249" s="22"/>
      <c r="ZG249" s="22"/>
      <c r="ZH249" s="22"/>
      <c r="ZI249" s="22"/>
      <c r="ZJ249" s="22"/>
      <c r="ZK249" s="22"/>
      <c r="ZL249" s="22"/>
      <c r="ZM249" s="22"/>
      <c r="ZN249" s="22"/>
      <c r="ZO249" s="22"/>
      <c r="ZP249" s="22"/>
      <c r="ZQ249" s="22"/>
      <c r="ZR249" s="22"/>
      <c r="ZS249" s="22"/>
      <c r="ZT249" s="22"/>
      <c r="ZU249" s="22"/>
      <c r="ZV249" s="22"/>
      <c r="ZW249" s="22"/>
      <c r="ZX249" s="22"/>
      <c r="ZY249" s="22"/>
      <c r="ZZ249" s="22"/>
      <c r="AAA249" s="22"/>
      <c r="AAB249" s="22"/>
      <c r="AAC249" s="22"/>
      <c r="AAD249" s="22"/>
      <c r="AAE249" s="22"/>
      <c r="AAF249" s="22"/>
      <c r="AAG249" s="22"/>
      <c r="AAH249" s="22"/>
      <c r="AAI249" s="22"/>
      <c r="AAJ249" s="22"/>
      <c r="AAK249" s="22"/>
      <c r="AAL249" s="22"/>
      <c r="AAM249" s="22"/>
      <c r="AAN249" s="22"/>
      <c r="AAO249" s="22"/>
      <c r="AAP249" s="22"/>
      <c r="AAQ249" s="22"/>
      <c r="AAR249" s="22"/>
      <c r="AAS249" s="22"/>
      <c r="AAT249" s="22"/>
      <c r="AAU249" s="22"/>
      <c r="AAV249" s="22"/>
      <c r="AAW249" s="22"/>
      <c r="AAX249" s="22"/>
      <c r="AAY249" s="22"/>
      <c r="AAZ249" s="22"/>
      <c r="ABA249" s="22"/>
      <c r="ABB249" s="22"/>
      <c r="ABC249" s="22"/>
      <c r="ABD249" s="22"/>
      <c r="ABE249" s="22"/>
      <c r="ABF249" s="22"/>
      <c r="ABG249" s="22"/>
      <c r="ABH249" s="22"/>
      <c r="ABI249" s="22"/>
      <c r="ABJ249" s="22"/>
      <c r="ABK249" s="22"/>
      <c r="ABL249" s="22"/>
      <c r="ABM249" s="22"/>
      <c r="ABN249" s="22"/>
      <c r="ABO249" s="22"/>
      <c r="ABP249" s="22"/>
      <c r="ABQ249" s="22"/>
      <c r="ABR249" s="22"/>
      <c r="ABS249" s="22"/>
      <c r="ABT249" s="22"/>
      <c r="ABU249" s="22"/>
      <c r="ABV249" s="22"/>
      <c r="ABW249" s="22"/>
      <c r="ABX249" s="22"/>
      <c r="ABY249" s="22"/>
      <c r="ABZ249" s="22"/>
      <c r="ACA249" s="22"/>
      <c r="ACB249" s="22"/>
      <c r="ACC249" s="22"/>
      <c r="ACD249" s="22"/>
      <c r="ACE249" s="22"/>
      <c r="ACF249" s="22"/>
      <c r="ACG249" s="22"/>
      <c r="ACH249" s="22"/>
      <c r="ACI249" s="22"/>
      <c r="ACJ249" s="22"/>
      <c r="ACK249" s="22"/>
      <c r="ACL249" s="22"/>
      <c r="ACM249" s="22"/>
      <c r="ACN249" s="22"/>
      <c r="ACO249" s="22"/>
      <c r="ACP249" s="22"/>
      <c r="ACQ249" s="22"/>
      <c r="ACR249" s="22"/>
      <c r="ACS249" s="22"/>
      <c r="ACT249" s="22"/>
      <c r="ACU249" s="22"/>
      <c r="ACV249" s="22"/>
      <c r="ACW249" s="22"/>
      <c r="ACX249" s="22"/>
      <c r="ACY249" s="22"/>
      <c r="ACZ249" s="22"/>
      <c r="ADA249" s="22"/>
      <c r="ADB249" s="22"/>
      <c r="ADC249" s="22"/>
      <c r="ADD249" s="22"/>
      <c r="ADE249" s="22"/>
      <c r="ADF249" s="22"/>
      <c r="ADG249" s="22"/>
      <c r="ADH249" s="22"/>
      <c r="ADI249" s="22"/>
      <c r="ADJ249" s="22"/>
      <c r="ADK249" s="22"/>
      <c r="ADL249" s="22"/>
      <c r="ADM249" s="22"/>
      <c r="ADN249" s="22"/>
      <c r="ADO249" s="22"/>
      <c r="ADP249" s="22"/>
      <c r="ADQ249" s="22"/>
      <c r="ADR249" s="22"/>
      <c r="ADS249" s="22"/>
      <c r="ADT249" s="22"/>
      <c r="ADU249" s="22"/>
      <c r="ADV249" s="22"/>
      <c r="ADW249" s="22"/>
      <c r="ADX249" s="22"/>
      <c r="ADY249" s="22"/>
      <c r="ADZ249" s="22"/>
      <c r="AEA249" s="22"/>
      <c r="AEB249" s="22"/>
      <c r="AEC249" s="22"/>
      <c r="AED249" s="22"/>
      <c r="AEE249" s="22"/>
      <c r="AEF249" s="22"/>
      <c r="AEG249" s="22"/>
      <c r="AEH249" s="22"/>
      <c r="AEI249" s="22"/>
      <c r="AEJ249" s="22"/>
      <c r="AEK249" s="22"/>
      <c r="AEL249" s="22"/>
      <c r="AEM249" s="22"/>
      <c r="AEN249" s="22"/>
      <c r="AEO249" s="22"/>
      <c r="AEP249" s="22"/>
      <c r="AEQ249" s="22"/>
      <c r="AER249" s="22"/>
      <c r="AES249" s="22"/>
      <c r="AET249" s="22"/>
      <c r="AEU249" s="22"/>
      <c r="AEV249" s="22"/>
      <c r="AEW249" s="22"/>
      <c r="AEX249" s="22"/>
      <c r="AEY249" s="22"/>
      <c r="AEZ249" s="22"/>
      <c r="AFA249" s="22"/>
      <c r="AFB249" s="22"/>
      <c r="AFC249" s="22"/>
      <c r="AFD249" s="22"/>
      <c r="AFE249" s="22"/>
      <c r="AFF249" s="22"/>
      <c r="AFG249" s="22"/>
      <c r="AFH249" s="22"/>
      <c r="AFI249" s="22"/>
      <c r="AFJ249" s="22"/>
      <c r="AFK249" s="22"/>
      <c r="AFL249" s="22"/>
      <c r="AFM249" s="22"/>
      <c r="AFN249" s="22"/>
      <c r="AFO249" s="22"/>
      <c r="AFP249" s="22"/>
      <c r="AFQ249" s="22"/>
      <c r="AFR249" s="22"/>
      <c r="AFS249" s="22"/>
      <c r="AFT249" s="22"/>
      <c r="AFU249" s="22"/>
      <c r="AFV249" s="22"/>
      <c r="AFW249" s="22"/>
      <c r="AFX249" s="22"/>
      <c r="AFY249" s="22"/>
      <c r="AFZ249" s="22"/>
      <c r="AGA249" s="22"/>
      <c r="AGB249" s="22"/>
      <c r="AGC249" s="22"/>
      <c r="AGD249" s="22"/>
      <c r="AGE249" s="22"/>
      <c r="AGF249" s="22"/>
      <c r="AGG249" s="22"/>
      <c r="AGH249" s="22"/>
      <c r="AGI249" s="22"/>
      <c r="AGJ249" s="22"/>
      <c r="AGK249" s="22"/>
      <c r="AGL249" s="22"/>
      <c r="AGM249" s="22"/>
      <c r="AGN249" s="22"/>
      <c r="AGO249" s="22"/>
      <c r="AGP249" s="22"/>
      <c r="AGQ249" s="22"/>
      <c r="AGR249" s="22"/>
      <c r="AGS249" s="22"/>
      <c r="AGT249" s="22"/>
      <c r="AGU249" s="22"/>
      <c r="AGV249" s="22"/>
      <c r="AGW249" s="22"/>
      <c r="AGX249" s="22"/>
      <c r="AGY249" s="22"/>
      <c r="AGZ249" s="22"/>
      <c r="AHA249" s="22"/>
      <c r="AHB249" s="22"/>
      <c r="AHC249" s="22"/>
      <c r="AHD249" s="22"/>
      <c r="AHE249" s="22"/>
      <c r="AHF249" s="22"/>
      <c r="AHG249" s="22"/>
      <c r="AHH249" s="22"/>
      <c r="AHI249" s="22"/>
      <c r="AHJ249" s="22"/>
      <c r="AHK249" s="22"/>
      <c r="AHL249" s="22"/>
      <c r="AHM249" s="22"/>
      <c r="AHN249" s="22"/>
      <c r="AHO249" s="22"/>
      <c r="AHP249" s="22"/>
      <c r="AHQ249" s="22"/>
      <c r="AHR249" s="22"/>
      <c r="AHS249" s="22"/>
      <c r="AHT249" s="22"/>
      <c r="AHU249" s="22"/>
      <c r="AHV249" s="22"/>
      <c r="AHW249" s="22"/>
      <c r="AHX249" s="22"/>
      <c r="AHY249" s="22"/>
      <c r="AHZ249" s="22"/>
      <c r="AIA249" s="22"/>
      <c r="AIB249" s="22"/>
      <c r="AIC249" s="22"/>
      <c r="AID249" s="22"/>
      <c r="AIE249" s="22"/>
      <c r="AIF249" s="22"/>
      <c r="AIG249" s="22"/>
      <c r="AIH249" s="22"/>
      <c r="AII249" s="22"/>
      <c r="AIJ249" s="22"/>
      <c r="AIK249" s="22"/>
      <c r="AIL249" s="22"/>
      <c r="AIM249" s="22"/>
      <c r="AIN249" s="22"/>
      <c r="AIO249" s="22"/>
      <c r="AIP249" s="22"/>
      <c r="AIQ249" s="22"/>
      <c r="AIR249" s="22"/>
      <c r="AIS249" s="22"/>
      <c r="AIT249" s="22"/>
      <c r="AIU249" s="22"/>
      <c r="AIV249" s="22"/>
      <c r="AIW249" s="22"/>
      <c r="AIX249" s="22"/>
      <c r="AIY249" s="22"/>
      <c r="AIZ249" s="22"/>
      <c r="AJA249" s="22"/>
      <c r="AJB249" s="22"/>
      <c r="AJC249" s="22"/>
      <c r="AJD249" s="22"/>
      <c r="AJE249" s="22"/>
      <c r="AJF249" s="22"/>
      <c r="AJG249" s="22"/>
      <c r="AJH249" s="22"/>
      <c r="AJI249" s="22"/>
      <c r="AJJ249" s="22"/>
      <c r="AJK249" s="22"/>
      <c r="AJL249" s="22"/>
      <c r="AJM249" s="22"/>
      <c r="AJN249" s="22"/>
      <c r="AJO249" s="22"/>
      <c r="AJP249" s="22"/>
      <c r="AJQ249" s="22"/>
      <c r="AJR249" s="22"/>
      <c r="AJS249" s="22"/>
      <c r="AJT249" s="22"/>
      <c r="AJU249" s="22"/>
      <c r="AJV249" s="22"/>
      <c r="AJW249" s="22"/>
      <c r="AJX249" s="22"/>
      <c r="AJY249" s="22"/>
      <c r="AJZ249" s="22"/>
      <c r="AKA249" s="22"/>
      <c r="AKB249" s="22"/>
      <c r="AKC249" s="22"/>
      <c r="AKD249" s="22"/>
      <c r="AKE249" s="22"/>
      <c r="AKF249" s="22"/>
      <c r="AKG249" s="22"/>
      <c r="AKH249" s="22"/>
      <c r="AKI249" s="22"/>
      <c r="AKJ249" s="22"/>
      <c r="AKK249" s="22"/>
      <c r="AKL249" s="22"/>
      <c r="AKM249" s="22"/>
      <c r="AKN249" s="22"/>
      <c r="AKO249" s="22"/>
      <c r="AKP249" s="22"/>
      <c r="AKQ249" s="22"/>
      <c r="AKR249" s="22"/>
      <c r="AKS249" s="22"/>
      <c r="AKT249" s="22"/>
      <c r="AKU249" s="22"/>
      <c r="AKV249" s="22"/>
      <c r="AKW249" s="22"/>
      <c r="AKX249" s="22"/>
      <c r="AKY249" s="22"/>
      <c r="AKZ249" s="22"/>
      <c r="ALA249" s="22"/>
      <c r="ALB249" s="22"/>
      <c r="ALC249" s="22"/>
      <c r="ALD249" s="22"/>
      <c r="ALE249" s="22"/>
      <c r="ALF249" s="22"/>
      <c r="ALG249" s="22"/>
      <c r="ALH249" s="22"/>
      <c r="ALI249" s="22"/>
      <c r="ALJ249" s="22"/>
      <c r="ALK249" s="22"/>
      <c r="ALL249" s="22"/>
      <c r="ALM249" s="22"/>
      <c r="ALN249" s="22"/>
      <c r="ALO249" s="22"/>
      <c r="ALP249" s="22"/>
      <c r="ALQ249" s="22"/>
      <c r="ALR249" s="22"/>
      <c r="ALS249" s="22"/>
      <c r="ALT249" s="22"/>
      <c r="ALU249" s="22"/>
      <c r="ALV249" s="22"/>
      <c r="ALW249" s="22"/>
      <c r="ALX249" s="22"/>
      <c r="ALY249" s="22"/>
      <c r="ALZ249" s="22"/>
      <c r="AMA249" s="22"/>
      <c r="AMB249" s="22"/>
      <c r="AMC249" s="22"/>
      <c r="AMD249" s="22"/>
      <c r="AME249" s="22"/>
      <c r="AMF249" s="22"/>
      <c r="AMG249" s="22"/>
      <c r="AMH249" s="22"/>
      <c r="AMI249" s="22"/>
      <c r="AMJ249" s="22"/>
      <c r="AMK249" s="22"/>
      <c r="AML249" s="22"/>
      <c r="AMM249" s="22"/>
      <c r="AMN249" s="22"/>
      <c r="AMO249" s="22"/>
      <c r="AMP249" s="22"/>
      <c r="AMQ249" s="22"/>
      <c r="AMR249" s="22"/>
      <c r="AMS249" s="22"/>
      <c r="AMT249" s="22"/>
      <c r="AMU249" s="22"/>
      <c r="AMV249" s="22"/>
      <c r="AMW249" s="22"/>
      <c r="AMX249" s="22"/>
      <c r="AMY249" s="22"/>
      <c r="AMZ249" s="22"/>
      <c r="ANA249" s="22"/>
      <c r="ANB249" s="22"/>
      <c r="ANC249" s="22"/>
      <c r="AND249" s="22"/>
      <c r="ANE249" s="22"/>
      <c r="ANF249" s="22"/>
      <c r="ANG249" s="22"/>
      <c r="ANH249" s="22"/>
      <c r="ANI249" s="22"/>
      <c r="ANJ249" s="22"/>
      <c r="ANK249" s="22"/>
      <c r="ANL249" s="22"/>
      <c r="ANM249" s="22"/>
      <c r="ANN249" s="22"/>
      <c r="ANO249" s="22"/>
      <c r="ANP249" s="22"/>
      <c r="ANQ249" s="22"/>
      <c r="ANR249" s="22"/>
      <c r="ANS249" s="22"/>
      <c r="ANT249" s="22"/>
      <c r="ANU249" s="22"/>
      <c r="ANV249" s="22"/>
      <c r="ANW249" s="22"/>
      <c r="ANX249" s="22"/>
      <c r="ANY249" s="22"/>
      <c r="ANZ249" s="22"/>
      <c r="AOA249" s="22"/>
      <c r="AOB249" s="22"/>
      <c r="AOC249" s="22"/>
      <c r="AOD249" s="22"/>
      <c r="AOE249" s="22"/>
      <c r="AOF249" s="22"/>
      <c r="AOG249" s="22"/>
      <c r="AOH249" s="22"/>
      <c r="AOI249" s="22"/>
      <c r="AOJ249" s="22"/>
      <c r="AOK249" s="22"/>
      <c r="AOL249" s="22"/>
      <c r="AOM249" s="22"/>
      <c r="AON249" s="22"/>
      <c r="AOO249" s="22"/>
      <c r="AOP249" s="22"/>
      <c r="AOQ249" s="22"/>
      <c r="AOR249" s="22"/>
      <c r="AOS249" s="22"/>
      <c r="AOT249" s="22"/>
      <c r="AOU249" s="22"/>
      <c r="AOV249" s="22"/>
      <c r="AOW249" s="22"/>
      <c r="AOX249" s="22"/>
      <c r="AOY249" s="22"/>
      <c r="AOZ249" s="22"/>
      <c r="APA249" s="22"/>
      <c r="APB249" s="22"/>
      <c r="APC249" s="22"/>
      <c r="APD249" s="22"/>
      <c r="APE249" s="22"/>
      <c r="APF249" s="22"/>
      <c r="APG249" s="22"/>
      <c r="APH249" s="22"/>
      <c r="API249" s="22"/>
      <c r="APJ249" s="22"/>
      <c r="APK249" s="22"/>
      <c r="APL249" s="22"/>
      <c r="APM249" s="22"/>
      <c r="APN249" s="22"/>
      <c r="APO249" s="22"/>
      <c r="APP249" s="22"/>
      <c r="APQ249" s="22"/>
      <c r="APR249" s="22"/>
      <c r="APS249" s="22"/>
      <c r="APT249" s="22"/>
      <c r="APU249" s="22"/>
      <c r="APV249" s="22"/>
      <c r="APW249" s="22"/>
      <c r="APX249" s="22"/>
      <c r="APY249" s="22"/>
      <c r="APZ249" s="22"/>
      <c r="AQA249" s="22"/>
      <c r="AQB249" s="22"/>
      <c r="AQC249" s="22"/>
      <c r="AQD249" s="22"/>
      <c r="AQE249" s="22"/>
      <c r="AQF249" s="22"/>
      <c r="AQG249" s="22"/>
      <c r="AQH249" s="22"/>
      <c r="AQI249" s="22"/>
      <c r="AQJ249" s="22"/>
      <c r="AQK249" s="22"/>
      <c r="AQL249" s="22"/>
      <c r="AQM249" s="22"/>
      <c r="AQN249" s="22"/>
      <c r="AQO249" s="22"/>
      <c r="AQP249" s="22"/>
      <c r="AQQ249" s="22"/>
      <c r="AQR249" s="22"/>
      <c r="AQS249" s="22"/>
      <c r="AQT249" s="22"/>
      <c r="AQU249" s="22"/>
      <c r="AQV249" s="22"/>
      <c r="AQW249" s="22"/>
      <c r="AQX249" s="22"/>
      <c r="AQY249" s="22"/>
      <c r="AQZ249" s="22"/>
      <c r="ARA249" s="22"/>
      <c r="ARB249" s="22"/>
      <c r="ARC249" s="22"/>
      <c r="ARD249" s="22"/>
      <c r="ARE249" s="22"/>
      <c r="ARF249" s="22"/>
      <c r="ARG249" s="22"/>
      <c r="ARH249" s="22"/>
      <c r="ARI249" s="22"/>
      <c r="ARJ249" s="22"/>
      <c r="ARK249" s="22"/>
      <c r="ARL249" s="22"/>
      <c r="ARM249" s="22"/>
      <c r="ARN249" s="22"/>
      <c r="ARO249" s="22"/>
      <c r="ARP249" s="22"/>
      <c r="ARQ249" s="22"/>
      <c r="ARR249" s="22"/>
      <c r="ARS249" s="22"/>
      <c r="ART249" s="22"/>
      <c r="ARU249" s="22"/>
      <c r="ARV249" s="22"/>
      <c r="ARW249" s="22"/>
      <c r="ARX249" s="22"/>
      <c r="ARY249" s="22"/>
      <c r="ARZ249" s="22"/>
      <c r="ASA249" s="22"/>
      <c r="ASB249" s="22"/>
      <c r="ASC249" s="22"/>
      <c r="ASD249" s="22"/>
      <c r="ASE249" s="22"/>
      <c r="ASF249" s="22"/>
      <c r="ASG249" s="22"/>
      <c r="ASH249" s="22"/>
      <c r="ASI249" s="22"/>
      <c r="ASJ249" s="22"/>
      <c r="ASK249" s="22"/>
      <c r="ASL249" s="22"/>
      <c r="ASM249" s="22"/>
      <c r="ASN249" s="22"/>
      <c r="ASO249" s="22"/>
      <c r="ASP249" s="22"/>
      <c r="ASQ249" s="22"/>
      <c r="ASR249" s="22"/>
      <c r="ASS249" s="22"/>
      <c r="AST249" s="22"/>
      <c r="ASU249" s="22"/>
      <c r="ASV249" s="22"/>
      <c r="ASW249" s="22"/>
      <c r="ASX249" s="22"/>
      <c r="ASY249" s="22"/>
      <c r="ASZ249" s="22"/>
      <c r="ATA249" s="22"/>
      <c r="ATB249" s="22"/>
      <c r="ATC249" s="22"/>
      <c r="ATD249" s="22"/>
      <c r="ATE249" s="22"/>
      <c r="ATF249" s="22"/>
      <c r="ATG249" s="22"/>
      <c r="ATH249" s="22"/>
      <c r="ATI249" s="22"/>
      <c r="ATJ249" s="22"/>
      <c r="ATK249" s="22"/>
      <c r="ATL249" s="22"/>
      <c r="ATM249" s="22"/>
      <c r="ATN249" s="22"/>
      <c r="ATO249" s="22"/>
      <c r="ATP249" s="22"/>
      <c r="ATQ249" s="22"/>
      <c r="ATR249" s="22"/>
      <c r="ATS249" s="22"/>
      <c r="ATT249" s="22"/>
      <c r="ATU249" s="22"/>
      <c r="ATV249" s="22"/>
      <c r="ATW249" s="22"/>
      <c r="ATX249" s="22"/>
      <c r="ATY249" s="22"/>
      <c r="ATZ249" s="22"/>
      <c r="AUA249" s="22"/>
      <c r="AUB249" s="22"/>
      <c r="AUC249" s="22"/>
      <c r="AUD249" s="22"/>
      <c r="AUE249" s="22"/>
      <c r="AUF249" s="22"/>
      <c r="AUG249" s="22"/>
      <c r="AUH249" s="22"/>
      <c r="AUI249" s="22"/>
      <c r="AUJ249" s="22"/>
      <c r="AUK249" s="22"/>
      <c r="AUL249" s="22"/>
      <c r="AUM249" s="22"/>
      <c r="AUN249" s="22"/>
      <c r="AUO249" s="22"/>
      <c r="AUP249" s="22"/>
      <c r="AUQ249" s="22"/>
      <c r="AUR249" s="22"/>
      <c r="AUS249" s="22"/>
      <c r="AUT249" s="22"/>
      <c r="AUU249" s="22"/>
      <c r="AUV249" s="22"/>
      <c r="AUW249" s="22"/>
      <c r="AUX249" s="22"/>
      <c r="AUY249" s="22"/>
      <c r="AUZ249" s="22"/>
      <c r="AVA249" s="22"/>
      <c r="AVB249" s="22"/>
      <c r="AVC249" s="22"/>
      <c r="AVD249" s="22"/>
      <c r="AVE249" s="22"/>
      <c r="AVF249" s="22"/>
      <c r="AVG249" s="22"/>
      <c r="AVH249" s="22"/>
      <c r="AVI249" s="22"/>
      <c r="AVJ249" s="22"/>
      <c r="AVK249" s="22"/>
      <c r="AVL249" s="22"/>
      <c r="AVM249" s="22"/>
      <c r="AVN249" s="22"/>
      <c r="AVO249" s="22"/>
      <c r="AVP249" s="22"/>
      <c r="AVQ249" s="22"/>
      <c r="AVR249" s="22"/>
      <c r="AVS249" s="22"/>
      <c r="AVT249" s="22"/>
      <c r="AVU249" s="22"/>
      <c r="AVV249" s="22"/>
      <c r="AVW249" s="22"/>
      <c r="AVX249" s="22"/>
      <c r="AVY249" s="22"/>
      <c r="AVZ249" s="22"/>
      <c r="AWA249" s="22"/>
      <c r="AWB249" s="22"/>
      <c r="AWC249" s="22"/>
      <c r="AWD249" s="22"/>
      <c r="AWE249" s="22"/>
      <c r="AWF249" s="22"/>
      <c r="AWG249" s="22"/>
      <c r="AWH249" s="22"/>
      <c r="AWI249" s="22"/>
      <c r="AWJ249" s="22"/>
      <c r="AWK249" s="22"/>
      <c r="AWL249" s="22"/>
      <c r="AWM249" s="22"/>
      <c r="AWN249" s="22"/>
      <c r="AWO249" s="22"/>
      <c r="AWP249" s="22"/>
      <c r="AWQ249" s="22"/>
      <c r="AWR249" s="22"/>
      <c r="AWS249" s="22"/>
      <c r="AWT249" s="22"/>
      <c r="AWU249" s="22"/>
      <c r="AWV249" s="22"/>
      <c r="AWW249" s="22"/>
      <c r="AWX249" s="22"/>
      <c r="AWY249" s="22"/>
      <c r="AWZ249" s="22"/>
      <c r="AXA249" s="22"/>
      <c r="AXB249" s="22"/>
      <c r="AXC249" s="22"/>
      <c r="AXD249" s="22"/>
      <c r="AXE249" s="22"/>
      <c r="AXF249" s="22"/>
      <c r="AXG249" s="22"/>
      <c r="AXH249" s="22"/>
      <c r="AXI249" s="22"/>
      <c r="AXJ249" s="22"/>
      <c r="AXK249" s="22"/>
      <c r="AXL249" s="22"/>
      <c r="AXM249" s="22"/>
      <c r="AXN249" s="22"/>
      <c r="AXO249" s="22"/>
      <c r="AXP249" s="22"/>
      <c r="AXQ249" s="22"/>
      <c r="AXR249" s="22"/>
      <c r="AXS249" s="22"/>
      <c r="AXT249" s="22"/>
      <c r="AXU249" s="22"/>
      <c r="AXV249" s="22"/>
      <c r="AXW249" s="22"/>
      <c r="AXX249" s="22"/>
      <c r="AXY249" s="22"/>
      <c r="AXZ249" s="22"/>
      <c r="AYA249" s="22"/>
      <c r="AYB249" s="22"/>
      <c r="AYC249" s="22"/>
      <c r="AYD249" s="22"/>
      <c r="AYE249" s="22"/>
      <c r="AYF249" s="22"/>
      <c r="AYG249" s="22"/>
      <c r="AYH249" s="22"/>
      <c r="AYI249" s="22"/>
      <c r="AYJ249" s="22"/>
      <c r="AYK249" s="22"/>
      <c r="AYL249" s="22"/>
      <c r="AYM249" s="22"/>
      <c r="AYN249" s="22"/>
      <c r="AYO249" s="22"/>
      <c r="AYP249" s="22"/>
      <c r="AYQ249" s="22"/>
      <c r="AYR249" s="22"/>
      <c r="AYS249" s="22"/>
      <c r="AYT249" s="22"/>
      <c r="AYU249" s="22"/>
      <c r="AYV249" s="22"/>
      <c r="AYW249" s="22"/>
      <c r="AYX249" s="22"/>
      <c r="AYY249" s="22"/>
      <c r="AYZ249" s="22"/>
      <c r="AZA249" s="22"/>
      <c r="AZB249" s="22"/>
      <c r="AZC249" s="22"/>
      <c r="AZD249" s="22"/>
      <c r="AZE249" s="22"/>
      <c r="AZF249" s="22"/>
      <c r="AZG249" s="22"/>
      <c r="AZH249" s="22"/>
      <c r="AZI249" s="22"/>
      <c r="AZJ249" s="22"/>
      <c r="AZK249" s="22"/>
      <c r="AZL249" s="22"/>
      <c r="AZM249" s="22"/>
      <c r="AZN249" s="22"/>
      <c r="AZO249" s="22"/>
      <c r="AZP249" s="22"/>
      <c r="AZQ249" s="22"/>
      <c r="AZR249" s="22"/>
      <c r="AZS249" s="22"/>
      <c r="AZT249" s="22"/>
      <c r="AZU249" s="22"/>
      <c r="AZV249" s="22"/>
      <c r="AZW249" s="22"/>
      <c r="AZX249" s="22"/>
      <c r="AZY249" s="22"/>
      <c r="AZZ249" s="22"/>
      <c r="BAA249" s="22"/>
      <c r="BAB249" s="22"/>
      <c r="BAC249" s="22"/>
      <c r="BAD249" s="22"/>
      <c r="BAE249" s="22"/>
      <c r="BAF249" s="22"/>
      <c r="BAG249" s="22"/>
      <c r="BAH249" s="22"/>
      <c r="BAI249" s="22"/>
      <c r="BAJ249" s="22"/>
      <c r="BAK249" s="22"/>
      <c r="BAL249" s="22"/>
      <c r="BAM249" s="22"/>
      <c r="BAN249" s="22"/>
      <c r="BAO249" s="22"/>
      <c r="BAP249" s="22"/>
      <c r="BAQ249" s="22"/>
      <c r="BAR249" s="22"/>
      <c r="BAS249" s="22"/>
      <c r="BAT249" s="22"/>
      <c r="BAU249" s="22"/>
      <c r="BAV249" s="22"/>
      <c r="BAW249" s="22"/>
      <c r="BAX249" s="22"/>
      <c r="BAY249" s="22"/>
      <c r="BAZ249" s="22"/>
      <c r="BBA249" s="22"/>
      <c r="BBB249" s="22"/>
      <c r="BBC249" s="22"/>
      <c r="BBD249" s="22"/>
      <c r="BBE249" s="22"/>
      <c r="BBF249" s="22"/>
      <c r="BBG249" s="22"/>
      <c r="BBH249" s="22"/>
      <c r="BBI249" s="22"/>
      <c r="BBJ249" s="22"/>
      <c r="BBK249" s="22"/>
      <c r="BBL249" s="22"/>
      <c r="BBM249" s="22"/>
      <c r="BBN249" s="22"/>
      <c r="BBO249" s="22"/>
      <c r="BBP249" s="22"/>
      <c r="BBQ249" s="22"/>
      <c r="BBR249" s="22"/>
      <c r="BBS249" s="22"/>
      <c r="BBT249" s="22"/>
      <c r="BBU249" s="22"/>
      <c r="BBV249" s="22"/>
      <c r="BBW249" s="22"/>
      <c r="BBX249" s="22"/>
      <c r="BBY249" s="22"/>
      <c r="BBZ249" s="22"/>
      <c r="BCA249" s="22"/>
      <c r="BCB249" s="22"/>
      <c r="BCC249" s="22"/>
      <c r="BCD249" s="22"/>
      <c r="BCE249" s="22"/>
      <c r="BCF249" s="22"/>
      <c r="BCG249" s="22"/>
      <c r="BCH249" s="22"/>
      <c r="BCI249" s="22"/>
      <c r="BCJ249" s="22"/>
      <c r="BCK249" s="22"/>
      <c r="BCL249" s="22"/>
      <c r="BCM249" s="22"/>
      <c r="BCN249" s="22"/>
      <c r="BCO249" s="22"/>
      <c r="BCP249" s="22"/>
      <c r="BCQ249" s="22"/>
      <c r="BCR249" s="22"/>
      <c r="BCS249" s="22"/>
      <c r="BCT249" s="22"/>
      <c r="BCU249" s="22"/>
      <c r="BCV249" s="22"/>
      <c r="BCW249" s="22"/>
      <c r="BCX249" s="22"/>
      <c r="BCY249" s="22"/>
      <c r="BCZ249" s="22"/>
      <c r="BDA249" s="22"/>
      <c r="BDB249" s="22"/>
      <c r="BDC249" s="22"/>
      <c r="BDD249" s="22"/>
      <c r="BDE249" s="22"/>
      <c r="BDF249" s="22"/>
      <c r="BDG249" s="22"/>
      <c r="BDH249" s="22"/>
      <c r="BDI249" s="22"/>
      <c r="BDJ249" s="22"/>
      <c r="BDK249" s="22"/>
      <c r="BDL249" s="22"/>
      <c r="BDM249" s="22"/>
      <c r="BDN249" s="22"/>
      <c r="BDO249" s="22"/>
      <c r="BDP249" s="22"/>
      <c r="BDQ249" s="22"/>
      <c r="BDR249" s="22"/>
      <c r="BDS249" s="22"/>
      <c r="BDT249" s="22"/>
      <c r="BDU249" s="22"/>
      <c r="BDV249" s="22"/>
      <c r="BDW249" s="22"/>
      <c r="BDX249" s="22"/>
      <c r="BDY249" s="22"/>
      <c r="BDZ249" s="22"/>
      <c r="BEA249" s="22"/>
      <c r="BEB249" s="22"/>
      <c r="BEC249" s="22"/>
      <c r="BED249" s="22"/>
      <c r="BEE249" s="22"/>
      <c r="BEF249" s="22"/>
      <c r="BEG249" s="22"/>
      <c r="BEH249" s="22"/>
      <c r="BEI249" s="22"/>
      <c r="BEJ249" s="22"/>
      <c r="BEK249" s="22"/>
      <c r="BEL249" s="22"/>
      <c r="BEM249" s="22"/>
      <c r="BEN249" s="22"/>
      <c r="BEO249" s="22"/>
      <c r="BEP249" s="22"/>
      <c r="BEQ249" s="22"/>
      <c r="BER249" s="22"/>
      <c r="BES249" s="22"/>
      <c r="BET249" s="22"/>
      <c r="BEU249" s="22"/>
      <c r="BEV249" s="22"/>
      <c r="BEW249" s="22"/>
      <c r="BEX249" s="22"/>
      <c r="BEY249" s="22"/>
      <c r="BEZ249" s="22"/>
      <c r="BFA249" s="22"/>
      <c r="BFB249" s="22"/>
      <c r="BFC249" s="22"/>
      <c r="BFD249" s="22"/>
      <c r="BFE249" s="22"/>
      <c r="BFF249" s="22"/>
      <c r="BFG249" s="22"/>
      <c r="BFH249" s="22"/>
      <c r="BFI249" s="22"/>
      <c r="BFJ249" s="22"/>
      <c r="BFK249" s="22"/>
      <c r="BFL249" s="22"/>
      <c r="BFM249" s="22"/>
      <c r="BFN249" s="22"/>
      <c r="BFO249" s="22"/>
      <c r="BFP249" s="22"/>
      <c r="BFQ249" s="22"/>
      <c r="BFR249" s="22"/>
      <c r="BFS249" s="22"/>
      <c r="BFT249" s="22"/>
      <c r="BFU249" s="22"/>
      <c r="BFV249" s="22"/>
      <c r="BFW249" s="22"/>
      <c r="BFX249" s="22"/>
      <c r="BFY249" s="22"/>
      <c r="BFZ249" s="22"/>
      <c r="BGA249" s="22"/>
      <c r="BGB249" s="22"/>
      <c r="BGC249" s="22"/>
      <c r="BGD249" s="22"/>
      <c r="BGE249" s="22"/>
      <c r="BGF249" s="22"/>
      <c r="BGG249" s="22"/>
      <c r="BGH249" s="22"/>
      <c r="BGI249" s="22"/>
      <c r="BGJ249" s="22"/>
      <c r="BGK249" s="22"/>
      <c r="BGL249" s="22"/>
      <c r="BGM249" s="22"/>
      <c r="BGN249" s="22"/>
      <c r="BGO249" s="22"/>
      <c r="BGP249" s="22"/>
      <c r="BGQ249" s="22"/>
      <c r="BGR249" s="22"/>
      <c r="BGS249" s="22"/>
      <c r="BGT249" s="22"/>
      <c r="BGU249" s="22"/>
      <c r="BGV249" s="22"/>
      <c r="BGW249" s="22"/>
      <c r="BGX249" s="22"/>
      <c r="BGY249" s="22"/>
      <c r="BGZ249" s="22"/>
      <c r="BHA249" s="22"/>
      <c r="BHB249" s="22"/>
      <c r="BHC249" s="22"/>
      <c r="BHD249" s="22"/>
      <c r="BHE249" s="22"/>
      <c r="BHF249" s="22"/>
      <c r="BHG249" s="22"/>
      <c r="BHH249" s="22"/>
      <c r="BHI249" s="22"/>
      <c r="BHJ249" s="22"/>
      <c r="BHK249" s="22"/>
      <c r="BHL249" s="22"/>
      <c r="BHM249" s="22"/>
      <c r="BHN249" s="22"/>
      <c r="BHO249" s="22"/>
      <c r="BHP249" s="22"/>
      <c r="BHQ249" s="22"/>
      <c r="BHR249" s="22"/>
      <c r="BHS249" s="22"/>
      <c r="BHT249" s="22"/>
      <c r="BHU249" s="22"/>
      <c r="BHV249" s="22"/>
      <c r="BHW249" s="22"/>
      <c r="BHX249" s="22"/>
      <c r="BHY249" s="22"/>
      <c r="BHZ249" s="22"/>
      <c r="BIA249" s="22"/>
      <c r="BIB249" s="22"/>
      <c r="BIC249" s="22"/>
      <c r="BID249" s="22"/>
      <c r="BIE249" s="22"/>
      <c r="BIF249" s="22"/>
      <c r="BIG249" s="22"/>
      <c r="BIH249" s="22"/>
      <c r="BII249" s="22"/>
      <c r="BIJ249" s="22"/>
      <c r="BIK249" s="22"/>
      <c r="BIL249" s="22"/>
      <c r="BIM249" s="22"/>
      <c r="BIN249" s="22"/>
      <c r="BIO249" s="22"/>
      <c r="BIP249" s="22"/>
      <c r="BIQ249" s="22"/>
      <c r="BIR249" s="22"/>
      <c r="BIS249" s="22"/>
      <c r="BIT249" s="22"/>
      <c r="BIU249" s="22"/>
      <c r="BIV249" s="22"/>
      <c r="BIW249" s="22"/>
      <c r="BIX249" s="22"/>
      <c r="BIY249" s="22"/>
      <c r="BIZ249" s="22"/>
      <c r="BJA249" s="22"/>
      <c r="BJB249" s="22"/>
      <c r="BJC249" s="22"/>
      <c r="BJD249" s="22"/>
      <c r="BJE249" s="22"/>
      <c r="BJF249" s="22"/>
      <c r="BJG249" s="22"/>
      <c r="BJH249" s="22"/>
      <c r="BJI249" s="22"/>
      <c r="BJJ249" s="22"/>
      <c r="BJK249" s="22"/>
      <c r="BJL249" s="22"/>
      <c r="BJM249" s="22"/>
      <c r="BJN249" s="22"/>
      <c r="BJO249" s="22"/>
      <c r="BJP249" s="22"/>
      <c r="BJQ249" s="22"/>
      <c r="BJR249" s="22"/>
      <c r="BJS249" s="22"/>
      <c r="BJT249" s="22"/>
      <c r="BJU249" s="22"/>
      <c r="BJV249" s="22"/>
      <c r="BJW249" s="22"/>
      <c r="BJX249" s="22"/>
      <c r="BJY249" s="22"/>
      <c r="BJZ249" s="22"/>
      <c r="BKA249" s="22"/>
      <c r="BKB249" s="22"/>
      <c r="BKC249" s="22"/>
      <c r="BKD249" s="22"/>
      <c r="BKE249" s="22"/>
      <c r="BKF249" s="22"/>
      <c r="BKG249" s="22"/>
      <c r="BKH249" s="22"/>
      <c r="BKI249" s="22"/>
      <c r="BKJ249" s="22"/>
      <c r="BKK249" s="22"/>
      <c r="BKL249" s="22"/>
      <c r="BKM249" s="22"/>
      <c r="BKN249" s="22"/>
      <c r="BKO249" s="22"/>
      <c r="BKP249" s="22"/>
      <c r="BKQ249" s="22"/>
      <c r="BKR249" s="22"/>
      <c r="BKS249" s="22"/>
      <c r="BKT249" s="22"/>
      <c r="BKU249" s="22"/>
      <c r="BKV249" s="22"/>
      <c r="BKW249" s="22"/>
      <c r="BKX249" s="22"/>
      <c r="BKY249" s="22"/>
      <c r="BKZ249" s="22"/>
      <c r="BLA249" s="22"/>
      <c r="BLB249" s="22"/>
      <c r="BLC249" s="22"/>
      <c r="BLD249" s="22"/>
      <c r="BLE249" s="22"/>
      <c r="BLF249" s="22"/>
      <c r="BLG249" s="22"/>
      <c r="BLH249" s="22"/>
      <c r="BLI249" s="22"/>
      <c r="BLJ249" s="22"/>
      <c r="BLK249" s="22"/>
      <c r="BLL249" s="22"/>
      <c r="BLM249" s="22"/>
      <c r="BLN249" s="22"/>
      <c r="BLO249" s="22"/>
      <c r="BLP249" s="22"/>
      <c r="BLQ249" s="22"/>
      <c r="BLR249" s="22"/>
      <c r="BLS249" s="22"/>
      <c r="BLT249" s="22"/>
      <c r="BLU249" s="22"/>
      <c r="BLV249" s="22"/>
      <c r="BLW249" s="22"/>
      <c r="BLX249" s="22"/>
      <c r="BLY249" s="22"/>
      <c r="BLZ249" s="22"/>
      <c r="BMA249" s="22"/>
      <c r="BMB249" s="22"/>
      <c r="BMC249" s="22"/>
      <c r="BMD249" s="22"/>
      <c r="BME249" s="22"/>
      <c r="BMF249" s="22"/>
      <c r="BMG249" s="22"/>
      <c r="BMH249" s="22"/>
      <c r="BMI249" s="22"/>
      <c r="BMJ249" s="22"/>
      <c r="BMK249" s="22"/>
      <c r="BML249" s="22"/>
      <c r="BMM249" s="22"/>
      <c r="BMN249" s="22"/>
      <c r="BMO249" s="22"/>
      <c r="BMP249" s="22"/>
      <c r="BMQ249" s="22"/>
      <c r="BMR249" s="22"/>
      <c r="BMS249" s="22"/>
      <c r="BMT249" s="22"/>
      <c r="BMU249" s="22"/>
      <c r="BMV249" s="22"/>
      <c r="BMW249" s="22"/>
      <c r="BMX249" s="22"/>
      <c r="BMY249" s="22"/>
      <c r="BMZ249" s="22"/>
      <c r="BNA249" s="22"/>
      <c r="BNB249" s="22"/>
      <c r="BNC249" s="22"/>
      <c r="BND249" s="22"/>
      <c r="BNE249" s="22"/>
      <c r="BNF249" s="22"/>
      <c r="BNG249" s="22"/>
      <c r="BNH249" s="22"/>
      <c r="BNI249" s="22"/>
      <c r="BNJ249" s="22"/>
      <c r="BNK249" s="22"/>
      <c r="BNL249" s="22"/>
      <c r="BNM249" s="22"/>
      <c r="BNN249" s="22"/>
      <c r="BNO249" s="22"/>
      <c r="BNP249" s="22"/>
      <c r="BNQ249" s="22"/>
      <c r="BNR249" s="22"/>
      <c r="BNS249" s="22"/>
      <c r="BNT249" s="22"/>
      <c r="BNU249" s="22"/>
      <c r="BNV249" s="22"/>
      <c r="BNW249" s="22"/>
      <c r="BNX249" s="22"/>
      <c r="BNY249" s="22"/>
      <c r="BNZ249" s="22"/>
      <c r="BOA249" s="22"/>
      <c r="BOB249" s="22"/>
      <c r="BOC249" s="22"/>
      <c r="BOD249" s="22"/>
      <c r="BOE249" s="22"/>
      <c r="BOF249" s="22"/>
      <c r="BOG249" s="22"/>
      <c r="BOH249" s="22"/>
      <c r="BOI249" s="22"/>
      <c r="BOJ249" s="22"/>
      <c r="BOK249" s="22"/>
      <c r="BOL249" s="22"/>
      <c r="BOM249" s="22"/>
      <c r="BON249" s="22"/>
      <c r="BOO249" s="22"/>
      <c r="BOP249" s="22"/>
      <c r="BOQ249" s="22"/>
      <c r="BOR249" s="22"/>
      <c r="BOS249" s="22"/>
      <c r="BOT249" s="22"/>
      <c r="BOU249" s="22"/>
      <c r="BOV249" s="22"/>
      <c r="BOW249" s="22"/>
      <c r="BOX249" s="22"/>
      <c r="BOY249" s="22"/>
      <c r="BOZ249" s="22"/>
      <c r="BPA249" s="22"/>
      <c r="BPB249" s="22"/>
      <c r="BPC249" s="22"/>
      <c r="BPD249" s="22"/>
      <c r="BPE249" s="22"/>
      <c r="BPF249" s="22"/>
      <c r="BPG249" s="22"/>
      <c r="BPH249" s="22"/>
      <c r="BPI249" s="22"/>
      <c r="BPJ249" s="22"/>
      <c r="BPK249" s="22"/>
      <c r="BPL249" s="22"/>
      <c r="BPM249" s="22"/>
      <c r="BPN249" s="22"/>
      <c r="BPO249" s="22"/>
      <c r="BPP249" s="22"/>
      <c r="BPQ249" s="22"/>
      <c r="BPR249" s="22"/>
      <c r="BPS249" s="22"/>
      <c r="BPT249" s="22"/>
      <c r="BPU249" s="22"/>
      <c r="BPV249" s="22"/>
      <c r="BPW249" s="22"/>
      <c r="BPX249" s="22"/>
      <c r="BPY249" s="22"/>
      <c r="BPZ249" s="22"/>
      <c r="BQA249" s="22"/>
      <c r="BQB249" s="22"/>
      <c r="BQC249" s="22"/>
      <c r="BQD249" s="22"/>
      <c r="BQE249" s="22"/>
      <c r="BQF249" s="22"/>
      <c r="BQG249" s="22"/>
      <c r="BQH249" s="22"/>
      <c r="BQI249" s="22"/>
      <c r="BQJ249" s="22"/>
      <c r="BQK249" s="22"/>
      <c r="BQL249" s="22"/>
      <c r="BQM249" s="22"/>
      <c r="BQN249" s="22"/>
      <c r="BQO249" s="22"/>
      <c r="BQP249" s="22"/>
      <c r="BQQ249" s="22"/>
      <c r="BQR249" s="22"/>
      <c r="BQS249" s="22"/>
      <c r="BQT249" s="22"/>
      <c r="BQU249" s="22"/>
      <c r="BQV249" s="22"/>
      <c r="BQW249" s="22"/>
      <c r="BQX249" s="22"/>
      <c r="BQY249" s="22"/>
      <c r="BQZ249" s="22"/>
      <c r="BRA249" s="22"/>
      <c r="BRB249" s="22"/>
      <c r="BRC249" s="22"/>
      <c r="BRD249" s="22"/>
      <c r="BRE249" s="22"/>
      <c r="BRF249" s="22"/>
      <c r="BRG249" s="22"/>
      <c r="BRH249" s="22"/>
      <c r="BRI249" s="22"/>
      <c r="BRJ249" s="22"/>
      <c r="BRK249" s="22"/>
      <c r="BRL249" s="22"/>
      <c r="BRM249" s="22"/>
      <c r="BRN249" s="22"/>
      <c r="BRO249" s="22"/>
      <c r="BRP249" s="22"/>
      <c r="BRQ249" s="22"/>
      <c r="BRR249" s="22"/>
      <c r="BRS249" s="22"/>
      <c r="BRT249" s="22"/>
      <c r="BRU249" s="22"/>
      <c r="BRV249" s="22"/>
      <c r="BRW249" s="22"/>
      <c r="BRX249" s="22"/>
      <c r="BRY249" s="22"/>
      <c r="BRZ249" s="22"/>
      <c r="BSA249" s="22"/>
      <c r="BSB249" s="22"/>
      <c r="BSC249" s="22"/>
      <c r="BSD249" s="22"/>
      <c r="BSE249" s="22"/>
      <c r="BSF249" s="22"/>
      <c r="BSG249" s="22"/>
      <c r="BSH249" s="22"/>
      <c r="BSI249" s="22"/>
      <c r="BSJ249" s="22"/>
      <c r="BSK249" s="22"/>
      <c r="BSL249" s="22"/>
      <c r="BSM249" s="22"/>
      <c r="BSN249" s="22"/>
      <c r="BSO249" s="22"/>
      <c r="BSP249" s="22"/>
      <c r="BSQ249" s="22"/>
      <c r="BSR249" s="22"/>
      <c r="BSS249" s="22"/>
      <c r="BST249" s="22"/>
      <c r="BSU249" s="22"/>
      <c r="BSV249" s="22"/>
      <c r="BSW249" s="22"/>
      <c r="BSX249" s="22"/>
      <c r="BSY249" s="22"/>
      <c r="BSZ249" s="22"/>
      <c r="BTA249" s="22"/>
      <c r="BTB249" s="22"/>
      <c r="BTC249" s="22"/>
      <c r="BTD249" s="22"/>
      <c r="BTE249" s="22"/>
      <c r="BTF249" s="22"/>
      <c r="BTG249" s="22"/>
      <c r="BTH249" s="22"/>
      <c r="BTI249" s="22"/>
      <c r="BTJ249" s="22"/>
      <c r="BTK249" s="22"/>
      <c r="BTL249" s="22"/>
      <c r="BTM249" s="22"/>
      <c r="BTN249" s="22"/>
      <c r="BTO249" s="22"/>
      <c r="BTP249" s="22"/>
      <c r="BTQ249" s="22"/>
      <c r="BTR249" s="22"/>
      <c r="BTS249" s="22"/>
      <c r="BTT249" s="22"/>
      <c r="BTU249" s="22"/>
      <c r="BTV249" s="22"/>
      <c r="BTW249" s="22"/>
      <c r="BTX249" s="22"/>
      <c r="BTY249" s="22"/>
      <c r="BTZ249" s="22"/>
      <c r="BUA249" s="22"/>
      <c r="BUB249" s="22"/>
      <c r="BUC249" s="22"/>
      <c r="BUD249" s="22"/>
      <c r="BUE249" s="22"/>
      <c r="BUF249" s="22"/>
      <c r="BUG249" s="22"/>
      <c r="BUH249" s="22"/>
      <c r="BUI249" s="22"/>
      <c r="BUJ249" s="22"/>
      <c r="BUK249" s="22"/>
      <c r="BUL249" s="22"/>
      <c r="BUM249" s="22"/>
      <c r="BUN249" s="22"/>
      <c r="BUO249" s="22"/>
      <c r="BUP249" s="22"/>
      <c r="BUQ249" s="22"/>
      <c r="BUR249" s="22"/>
      <c r="BUS249" s="22"/>
      <c r="BUT249" s="22"/>
      <c r="BUU249" s="22"/>
      <c r="BUV249" s="22"/>
      <c r="BUW249" s="22"/>
      <c r="BUX249" s="22"/>
      <c r="BUY249" s="22"/>
      <c r="BUZ249" s="22"/>
      <c r="BVA249" s="22"/>
      <c r="BVB249" s="22"/>
      <c r="BVC249" s="22"/>
      <c r="BVD249" s="22"/>
      <c r="BVE249" s="22"/>
      <c r="BVF249" s="22"/>
      <c r="BVG249" s="22"/>
      <c r="BVH249" s="22"/>
      <c r="BVI249" s="22"/>
      <c r="BVJ249" s="22"/>
      <c r="BVK249" s="22"/>
      <c r="BVL249" s="22"/>
      <c r="BVM249" s="22"/>
      <c r="BVN249" s="22"/>
      <c r="BVO249" s="22"/>
      <c r="BVP249" s="22"/>
      <c r="BVQ249" s="22"/>
      <c r="BVR249" s="22"/>
      <c r="BVS249" s="22"/>
      <c r="BVT249" s="22"/>
      <c r="BVU249" s="22"/>
      <c r="BVV249" s="22"/>
      <c r="BVW249" s="22"/>
      <c r="BVX249" s="22"/>
      <c r="BVY249" s="22"/>
      <c r="BVZ249" s="22"/>
      <c r="BWA249" s="22"/>
      <c r="BWB249" s="22"/>
      <c r="BWC249" s="22"/>
      <c r="BWD249" s="22"/>
      <c r="BWE249" s="22"/>
      <c r="BWF249" s="22"/>
      <c r="BWG249" s="22"/>
      <c r="BWH249" s="22"/>
      <c r="BWI249" s="22"/>
      <c r="BWJ249" s="22"/>
      <c r="BWK249" s="22"/>
      <c r="BWL249" s="22"/>
      <c r="BWM249" s="22"/>
      <c r="BWN249" s="22"/>
      <c r="BWO249" s="22"/>
      <c r="BWP249" s="22"/>
      <c r="BWQ249" s="22"/>
      <c r="BWR249" s="22"/>
      <c r="BWS249" s="22"/>
      <c r="BWT249" s="22"/>
      <c r="BWU249" s="22"/>
      <c r="BWV249" s="22"/>
      <c r="BWW249" s="22"/>
      <c r="BWX249" s="22"/>
      <c r="BWY249" s="22"/>
      <c r="BWZ249" s="22"/>
      <c r="BXA249" s="22"/>
      <c r="BXB249" s="22"/>
      <c r="BXC249" s="22"/>
      <c r="BXD249" s="22"/>
      <c r="BXE249" s="22"/>
      <c r="BXF249" s="22"/>
      <c r="BXG249" s="22"/>
      <c r="BXH249" s="22"/>
      <c r="BXI249" s="22"/>
      <c r="BXJ249" s="22"/>
      <c r="BXK249" s="22"/>
      <c r="BXL249" s="22"/>
      <c r="BXM249" s="22"/>
      <c r="BXN249" s="22"/>
      <c r="BXO249" s="22"/>
      <c r="BXP249" s="22"/>
      <c r="BXQ249" s="22"/>
      <c r="BXR249" s="22"/>
      <c r="BXS249" s="22"/>
      <c r="BXT249" s="22"/>
      <c r="BXU249" s="22"/>
      <c r="BXV249" s="22"/>
      <c r="BXW249" s="22"/>
      <c r="BXX249" s="22"/>
      <c r="BXY249" s="22"/>
      <c r="BXZ249" s="22"/>
      <c r="BYA249" s="22"/>
      <c r="BYB249" s="22"/>
      <c r="BYC249" s="22"/>
      <c r="BYD249" s="22"/>
      <c r="BYE249" s="22"/>
      <c r="BYF249" s="22"/>
      <c r="BYG249" s="22"/>
      <c r="BYH249" s="22"/>
      <c r="BYI249" s="22"/>
      <c r="BYJ249" s="22"/>
      <c r="BYK249" s="22"/>
      <c r="BYL249" s="22"/>
      <c r="BYM249" s="22"/>
      <c r="BYN249" s="22"/>
      <c r="BYO249" s="22"/>
      <c r="BYP249" s="22"/>
      <c r="BYQ249" s="22"/>
      <c r="BYR249" s="22"/>
      <c r="BYS249" s="22"/>
      <c r="BYT249" s="22"/>
      <c r="BYU249" s="22"/>
      <c r="BYV249" s="22"/>
      <c r="BYW249" s="22"/>
      <c r="BYX249" s="22"/>
      <c r="BYY249" s="22"/>
      <c r="BYZ249" s="22"/>
      <c r="BZA249" s="22"/>
      <c r="BZB249" s="22"/>
      <c r="BZC249" s="22"/>
      <c r="BZD249" s="22"/>
      <c r="BZE249" s="22"/>
      <c r="BZF249" s="22"/>
      <c r="BZG249" s="22"/>
      <c r="BZH249" s="22"/>
      <c r="BZI249" s="22"/>
      <c r="BZJ249" s="22"/>
      <c r="BZK249" s="22"/>
      <c r="BZL249" s="22"/>
      <c r="BZM249" s="22"/>
      <c r="BZN249" s="22"/>
      <c r="BZO249" s="22"/>
      <c r="BZP249" s="22"/>
      <c r="BZQ249" s="22"/>
      <c r="BZR249" s="22"/>
      <c r="BZS249" s="22"/>
      <c r="BZT249" s="22"/>
      <c r="BZU249" s="22"/>
      <c r="BZV249" s="22"/>
      <c r="BZW249" s="22"/>
      <c r="BZX249" s="22"/>
      <c r="BZY249" s="22"/>
      <c r="BZZ249" s="22"/>
      <c r="CAA249" s="22"/>
      <c r="CAB249" s="22"/>
      <c r="CAC249" s="22"/>
      <c r="CAD249" s="22"/>
      <c r="CAE249" s="22"/>
      <c r="CAF249" s="22"/>
      <c r="CAG249" s="22"/>
      <c r="CAH249" s="22"/>
      <c r="CAI249" s="22"/>
      <c r="CAJ249" s="22"/>
      <c r="CAK249" s="22"/>
      <c r="CAL249" s="22"/>
      <c r="CAM249" s="22"/>
      <c r="CAN249" s="22"/>
      <c r="CAO249" s="22"/>
      <c r="CAP249" s="22"/>
      <c r="CAQ249" s="22"/>
      <c r="CAR249" s="22"/>
      <c r="CAS249" s="22"/>
      <c r="CAT249" s="22"/>
      <c r="CAU249" s="22"/>
      <c r="CAV249" s="22"/>
      <c r="CAW249" s="22"/>
      <c r="CAX249" s="22"/>
      <c r="CAY249" s="22"/>
      <c r="CAZ249" s="22"/>
      <c r="CBA249" s="22"/>
      <c r="CBB249" s="22"/>
      <c r="CBC249" s="22"/>
      <c r="CBD249" s="22"/>
      <c r="CBE249" s="22"/>
      <c r="CBF249" s="22"/>
      <c r="CBG249" s="22"/>
      <c r="CBH249" s="22"/>
      <c r="CBI249" s="22"/>
      <c r="CBJ249" s="22"/>
      <c r="CBK249" s="22"/>
      <c r="CBL249" s="22"/>
      <c r="CBM249" s="22"/>
      <c r="CBN249" s="22"/>
      <c r="CBO249" s="22"/>
      <c r="CBP249" s="22"/>
      <c r="CBQ249" s="22"/>
      <c r="CBR249" s="22"/>
      <c r="CBS249" s="22"/>
      <c r="CBT249" s="22"/>
      <c r="CBU249" s="22"/>
      <c r="CBV249" s="22"/>
      <c r="CBW249" s="22"/>
      <c r="CBX249" s="22"/>
      <c r="CBY249" s="22"/>
      <c r="CBZ249" s="22"/>
      <c r="CCA249" s="22"/>
      <c r="CCB249" s="22"/>
      <c r="CCC249" s="22"/>
      <c r="CCD249" s="22"/>
      <c r="CCE249" s="22"/>
      <c r="CCF249" s="22"/>
      <c r="CCG249" s="22"/>
      <c r="CCH249" s="22"/>
      <c r="CCI249" s="22"/>
      <c r="CCJ249" s="22"/>
      <c r="CCK249" s="22"/>
      <c r="CCL249" s="22"/>
      <c r="CCM249" s="22"/>
      <c r="CCN249" s="22"/>
      <c r="CCO249" s="22"/>
      <c r="CCP249" s="22"/>
      <c r="CCQ249" s="22"/>
      <c r="CCR249" s="22"/>
      <c r="CCS249" s="22"/>
      <c r="CCT249" s="22"/>
      <c r="CCU249" s="22"/>
      <c r="CCV249" s="22"/>
      <c r="CCW249" s="22"/>
      <c r="CCX249" s="22"/>
      <c r="CCY249" s="22"/>
      <c r="CCZ249" s="22"/>
      <c r="CDA249" s="22"/>
      <c r="CDB249" s="22"/>
      <c r="CDC249" s="22"/>
      <c r="CDD249" s="22"/>
      <c r="CDE249" s="22"/>
      <c r="CDF249" s="22"/>
      <c r="CDG249" s="22"/>
      <c r="CDH249" s="22"/>
      <c r="CDI249" s="22"/>
      <c r="CDJ249" s="22"/>
      <c r="CDK249" s="22"/>
      <c r="CDL249" s="22"/>
      <c r="CDM249" s="22"/>
      <c r="CDN249" s="22"/>
      <c r="CDO249" s="22"/>
      <c r="CDP249" s="22"/>
      <c r="CDQ249" s="22"/>
      <c r="CDR249" s="22"/>
      <c r="CDS249" s="22"/>
      <c r="CDT249" s="22"/>
      <c r="CDU249" s="22"/>
      <c r="CDV249" s="22"/>
      <c r="CDW249" s="22"/>
      <c r="CDX249" s="22"/>
      <c r="CDY249" s="22"/>
      <c r="CDZ249" s="22"/>
      <c r="CEA249" s="22"/>
      <c r="CEB249" s="22"/>
      <c r="CEC249" s="22"/>
      <c r="CED249" s="22"/>
      <c r="CEE249" s="22"/>
      <c r="CEF249" s="22"/>
      <c r="CEG249" s="22"/>
      <c r="CEH249" s="22"/>
      <c r="CEI249" s="22"/>
      <c r="CEJ249" s="22"/>
      <c r="CEK249" s="22"/>
      <c r="CEL249" s="22"/>
      <c r="CEM249" s="22"/>
      <c r="CEN249" s="22"/>
      <c r="CEO249" s="22"/>
      <c r="CEP249" s="22"/>
      <c r="CEQ249" s="22"/>
      <c r="CER249" s="22"/>
      <c r="CES249" s="22"/>
      <c r="CET249" s="22"/>
      <c r="CEU249" s="22"/>
      <c r="CEV249" s="22"/>
      <c r="CEW249" s="22"/>
      <c r="CEX249" s="22"/>
      <c r="CEY249" s="22"/>
      <c r="CEZ249" s="22"/>
      <c r="CFA249" s="22"/>
      <c r="CFB249" s="22"/>
      <c r="CFC249" s="22"/>
      <c r="CFD249" s="22"/>
      <c r="CFE249" s="22"/>
      <c r="CFF249" s="22"/>
      <c r="CFG249" s="22"/>
      <c r="CFH249" s="22"/>
      <c r="CFI249" s="22"/>
      <c r="CFJ249" s="22"/>
      <c r="CFK249" s="22"/>
      <c r="CFL249" s="22"/>
      <c r="CFM249" s="22"/>
      <c r="CFN249" s="22"/>
      <c r="CFO249" s="22"/>
      <c r="CFP249" s="22"/>
      <c r="CFQ249" s="22"/>
      <c r="CFR249" s="22"/>
      <c r="CFS249" s="22"/>
      <c r="CFT249" s="22"/>
      <c r="CFU249" s="22"/>
      <c r="CFV249" s="22"/>
      <c r="CFW249" s="22"/>
      <c r="CFX249" s="22"/>
      <c r="CFY249" s="22"/>
      <c r="CFZ249" s="22"/>
      <c r="CGA249" s="22"/>
      <c r="CGB249" s="22"/>
      <c r="CGC249" s="22"/>
      <c r="CGD249" s="22"/>
      <c r="CGE249" s="22"/>
      <c r="CGF249" s="22"/>
      <c r="CGG249" s="22"/>
      <c r="CGH249" s="22"/>
      <c r="CGI249" s="22"/>
      <c r="CGJ249" s="22"/>
      <c r="CGK249" s="22"/>
      <c r="CGL249" s="22"/>
      <c r="CGM249" s="22"/>
      <c r="CGN249" s="22"/>
      <c r="CGO249" s="22"/>
      <c r="CGP249" s="22"/>
      <c r="CGQ249" s="22"/>
      <c r="CGR249" s="22"/>
      <c r="CGS249" s="22"/>
      <c r="CGT249" s="22"/>
      <c r="CGU249" s="22"/>
      <c r="CGV249" s="22"/>
      <c r="CGW249" s="22"/>
      <c r="CGX249" s="22"/>
      <c r="CGY249" s="22"/>
      <c r="CGZ249" s="22"/>
      <c r="CHA249" s="22"/>
      <c r="CHB249" s="22"/>
      <c r="CHC249" s="22"/>
      <c r="CHD249" s="22"/>
      <c r="CHE249" s="22"/>
      <c r="CHF249" s="22"/>
      <c r="CHG249" s="22"/>
      <c r="CHH249" s="22"/>
      <c r="CHI249" s="22"/>
      <c r="CHJ249" s="22"/>
      <c r="CHK249" s="22"/>
      <c r="CHL249" s="22"/>
      <c r="CHM249" s="22"/>
      <c r="CHN249" s="22"/>
      <c r="CHO249" s="22"/>
      <c r="CHP249" s="22"/>
      <c r="CHQ249" s="22"/>
      <c r="CHR249" s="22"/>
      <c r="CHS249" s="22"/>
      <c r="CHT249" s="22"/>
      <c r="CHU249" s="22"/>
      <c r="CHV249" s="22"/>
      <c r="CHW249" s="22"/>
      <c r="CHX249" s="22"/>
      <c r="CHY249" s="22"/>
      <c r="CHZ249" s="22"/>
      <c r="CIA249" s="22"/>
      <c r="CIB249" s="22"/>
      <c r="CIC249" s="22"/>
      <c r="CID249" s="22"/>
      <c r="CIE249" s="22"/>
      <c r="CIF249" s="22"/>
      <c r="CIG249" s="22"/>
      <c r="CIH249" s="22"/>
      <c r="CII249" s="22"/>
      <c r="CIJ249" s="22"/>
      <c r="CIK249" s="22"/>
      <c r="CIL249" s="22"/>
      <c r="CIM249" s="22"/>
      <c r="CIN249" s="22"/>
      <c r="CIO249" s="22"/>
      <c r="CIP249" s="22"/>
      <c r="CIQ249" s="22"/>
      <c r="CIR249" s="22"/>
      <c r="CIS249" s="22"/>
      <c r="CIT249" s="22"/>
      <c r="CIU249" s="22"/>
      <c r="CIV249" s="22"/>
      <c r="CIW249" s="22"/>
      <c r="CIX249" s="22"/>
      <c r="CIY249" s="22"/>
      <c r="CIZ249" s="22"/>
      <c r="CJA249" s="22"/>
      <c r="CJB249" s="22"/>
      <c r="CJC249" s="22"/>
      <c r="CJD249" s="22"/>
      <c r="CJE249" s="22"/>
      <c r="CJF249" s="22"/>
      <c r="CJG249" s="22"/>
      <c r="CJH249" s="22"/>
      <c r="CJI249" s="22"/>
      <c r="CJJ249" s="22"/>
      <c r="CJK249" s="22"/>
      <c r="CJL249" s="22"/>
      <c r="CJM249" s="22"/>
      <c r="CJN249" s="22"/>
      <c r="CJO249" s="22"/>
      <c r="CJP249" s="22"/>
      <c r="CJQ249" s="22"/>
      <c r="CJR249" s="22"/>
      <c r="CJS249" s="22"/>
      <c r="CJT249" s="22"/>
      <c r="CJU249" s="22"/>
      <c r="CJV249" s="22"/>
      <c r="CJW249" s="22"/>
      <c r="CJX249" s="22"/>
      <c r="CJY249" s="22"/>
      <c r="CJZ249" s="22"/>
      <c r="CKA249" s="22"/>
      <c r="CKB249" s="22"/>
      <c r="CKC249" s="22"/>
      <c r="CKD249" s="22"/>
      <c r="CKE249" s="22"/>
      <c r="CKF249" s="22"/>
      <c r="CKG249" s="22"/>
      <c r="CKH249" s="22"/>
      <c r="CKI249" s="22"/>
      <c r="CKJ249" s="22"/>
      <c r="CKK249" s="22"/>
      <c r="CKL249" s="22"/>
      <c r="CKM249" s="22"/>
      <c r="CKN249" s="22"/>
      <c r="CKO249" s="22"/>
      <c r="CKP249" s="22"/>
      <c r="CKQ249" s="22"/>
      <c r="CKR249" s="22"/>
      <c r="CKS249" s="22"/>
      <c r="CKT249" s="22"/>
      <c r="CKU249" s="22"/>
      <c r="CKV249" s="22"/>
      <c r="CKW249" s="22"/>
      <c r="CKX249" s="22"/>
      <c r="CKY249" s="22"/>
      <c r="CKZ249" s="22"/>
      <c r="CLA249" s="22"/>
      <c r="CLB249" s="22"/>
      <c r="CLC249" s="22"/>
      <c r="CLD249" s="22"/>
      <c r="CLE249" s="22"/>
      <c r="CLF249" s="22"/>
      <c r="CLG249" s="22"/>
      <c r="CLH249" s="22"/>
      <c r="CLI249" s="22"/>
      <c r="CLJ249" s="22"/>
      <c r="CLK249" s="22"/>
      <c r="CLL249" s="22"/>
      <c r="CLM249" s="22"/>
      <c r="CLN249" s="22"/>
      <c r="CLO249" s="22"/>
      <c r="CLP249" s="22"/>
      <c r="CLQ249" s="22"/>
      <c r="CLR249" s="22"/>
      <c r="CLS249" s="22"/>
      <c r="CLT249" s="22"/>
      <c r="CLU249" s="22"/>
      <c r="CLV249" s="22"/>
      <c r="CLW249" s="22"/>
      <c r="CLX249" s="22"/>
      <c r="CLY249" s="22"/>
      <c r="CLZ249" s="22"/>
      <c r="CMA249" s="22"/>
      <c r="CMB249" s="22"/>
      <c r="CMC249" s="22"/>
      <c r="CMD249" s="22"/>
      <c r="CME249" s="22"/>
      <c r="CMF249" s="22"/>
      <c r="CMG249" s="22"/>
      <c r="CMH249" s="22"/>
      <c r="CMI249" s="22"/>
      <c r="CMJ249" s="22"/>
      <c r="CMK249" s="22"/>
      <c r="CML249" s="22"/>
      <c r="CMM249" s="22"/>
      <c r="CMN249" s="22"/>
      <c r="CMO249" s="22"/>
      <c r="CMP249" s="22"/>
      <c r="CMQ249" s="22"/>
      <c r="CMR249" s="22"/>
      <c r="CMS249" s="22"/>
      <c r="CMT249" s="22"/>
      <c r="CMU249" s="22"/>
      <c r="CMV249" s="22"/>
      <c r="CMW249" s="22"/>
      <c r="CMX249" s="22"/>
      <c r="CMY249" s="22"/>
      <c r="CMZ249" s="22"/>
      <c r="CNA249" s="22"/>
      <c r="CNB249" s="22"/>
      <c r="CNC249" s="22"/>
      <c r="CND249" s="22"/>
      <c r="CNE249" s="22"/>
      <c r="CNF249" s="22"/>
      <c r="CNG249" s="22"/>
      <c r="CNH249" s="22"/>
      <c r="CNI249" s="22"/>
      <c r="CNJ249" s="22"/>
      <c r="CNK249" s="22"/>
      <c r="CNL249" s="22"/>
      <c r="CNM249" s="22"/>
      <c r="CNN249" s="22"/>
      <c r="CNO249" s="22"/>
      <c r="CNP249" s="22"/>
      <c r="CNQ249" s="22"/>
      <c r="CNR249" s="22"/>
      <c r="CNS249" s="22"/>
      <c r="CNT249" s="22"/>
      <c r="CNU249" s="22"/>
      <c r="CNV249" s="22"/>
      <c r="CNW249" s="22"/>
      <c r="CNX249" s="22"/>
      <c r="CNY249" s="22"/>
      <c r="CNZ249" s="22"/>
      <c r="COA249" s="22"/>
      <c r="COB249" s="22"/>
      <c r="COC249" s="22"/>
      <c r="COD249" s="22"/>
      <c r="COE249" s="22"/>
      <c r="COF249" s="22"/>
      <c r="COG249" s="22"/>
      <c r="COH249" s="22"/>
      <c r="COI249" s="22"/>
      <c r="COJ249" s="22"/>
      <c r="COK249" s="22"/>
      <c r="COL249" s="22"/>
      <c r="COM249" s="22"/>
      <c r="CON249" s="22"/>
      <c r="COO249" s="22"/>
      <c r="COP249" s="22"/>
      <c r="COQ249" s="22"/>
      <c r="COR249" s="22"/>
      <c r="COS249" s="22"/>
      <c r="COT249" s="22"/>
      <c r="COU249" s="22"/>
      <c r="COV249" s="22"/>
      <c r="COW249" s="22"/>
      <c r="COX249" s="22"/>
      <c r="COY249" s="22"/>
      <c r="COZ249" s="22"/>
      <c r="CPA249" s="22"/>
      <c r="CPB249" s="22"/>
      <c r="CPC249" s="22"/>
      <c r="CPD249" s="22"/>
      <c r="CPE249" s="22"/>
      <c r="CPF249" s="22"/>
      <c r="CPG249" s="22"/>
      <c r="CPH249" s="22"/>
      <c r="CPI249" s="22"/>
      <c r="CPJ249" s="22"/>
      <c r="CPK249" s="22"/>
      <c r="CPL249" s="22"/>
      <c r="CPM249" s="22"/>
      <c r="CPN249" s="22"/>
      <c r="CPO249" s="22"/>
      <c r="CPP249" s="22"/>
      <c r="CPQ249" s="22"/>
      <c r="CPR249" s="22"/>
      <c r="CPS249" s="22"/>
      <c r="CPT249" s="22"/>
      <c r="CPU249" s="22"/>
      <c r="CPV249" s="22"/>
      <c r="CPW249" s="22"/>
      <c r="CPX249" s="22"/>
      <c r="CPY249" s="22"/>
      <c r="CPZ249" s="22"/>
      <c r="CQA249" s="22"/>
      <c r="CQB249" s="22"/>
      <c r="CQC249" s="22"/>
      <c r="CQD249" s="22"/>
      <c r="CQE249" s="22"/>
      <c r="CQF249" s="22"/>
      <c r="CQG249" s="22"/>
      <c r="CQH249" s="22"/>
      <c r="CQI249" s="22"/>
      <c r="CQJ249" s="22"/>
      <c r="CQK249" s="22"/>
      <c r="CQL249" s="22"/>
      <c r="CQM249" s="22"/>
      <c r="CQN249" s="22"/>
      <c r="CQO249" s="22"/>
      <c r="CQP249" s="22"/>
      <c r="CQQ249" s="22"/>
      <c r="CQR249" s="22"/>
      <c r="CQS249" s="22"/>
      <c r="CQT249" s="22"/>
      <c r="CQU249" s="22"/>
      <c r="CQV249" s="22"/>
      <c r="CQW249" s="22"/>
      <c r="CQX249" s="22"/>
      <c r="CQY249" s="22"/>
      <c r="CQZ249" s="22"/>
      <c r="CRA249" s="22"/>
      <c r="CRB249" s="22"/>
      <c r="CRC249" s="22"/>
      <c r="CRD249" s="22"/>
      <c r="CRE249" s="22"/>
      <c r="CRF249" s="22"/>
      <c r="CRG249" s="22"/>
      <c r="CRH249" s="22"/>
      <c r="CRI249" s="22"/>
      <c r="CRJ249" s="22"/>
      <c r="CRK249" s="22"/>
      <c r="CRL249" s="22"/>
      <c r="CRM249" s="22"/>
      <c r="CRN249" s="22"/>
      <c r="CRO249" s="22"/>
      <c r="CRP249" s="22"/>
      <c r="CRQ249" s="22"/>
      <c r="CRR249" s="22"/>
      <c r="CRS249" s="22"/>
      <c r="CRT249" s="22"/>
      <c r="CRU249" s="22"/>
      <c r="CRV249" s="22"/>
      <c r="CRW249" s="22"/>
      <c r="CRX249" s="22"/>
      <c r="CRY249" s="22"/>
      <c r="CRZ249" s="22"/>
      <c r="CSA249" s="22"/>
      <c r="CSB249" s="22"/>
      <c r="CSC249" s="22"/>
      <c r="CSD249" s="22"/>
      <c r="CSE249" s="22"/>
      <c r="CSF249" s="22"/>
      <c r="CSG249" s="22"/>
      <c r="CSH249" s="22"/>
      <c r="CSI249" s="22"/>
      <c r="CSJ249" s="22"/>
      <c r="CSK249" s="22"/>
      <c r="CSL249" s="22"/>
      <c r="CSM249" s="22"/>
      <c r="CSN249" s="22"/>
      <c r="CSO249" s="22"/>
      <c r="CSP249" s="22"/>
      <c r="CSQ249" s="22"/>
      <c r="CSR249" s="22"/>
      <c r="CSS249" s="22"/>
      <c r="CST249" s="22"/>
      <c r="CSU249" s="22"/>
      <c r="CSV249" s="22"/>
      <c r="CSW249" s="22"/>
      <c r="CSX249" s="22"/>
      <c r="CSY249" s="22"/>
      <c r="CSZ249" s="22"/>
      <c r="CTA249" s="22"/>
      <c r="CTB249" s="22"/>
      <c r="CTC249" s="22"/>
      <c r="CTD249" s="22"/>
      <c r="CTE249" s="22"/>
      <c r="CTF249" s="22"/>
      <c r="CTG249" s="22"/>
      <c r="CTH249" s="22"/>
      <c r="CTI249" s="22"/>
      <c r="CTJ249" s="22"/>
      <c r="CTK249" s="22"/>
      <c r="CTL249" s="22"/>
      <c r="CTM249" s="22"/>
      <c r="CTN249" s="22"/>
      <c r="CTO249" s="22"/>
      <c r="CTP249" s="22"/>
      <c r="CTQ249" s="22"/>
      <c r="CTR249" s="22"/>
      <c r="CTS249" s="22"/>
      <c r="CTT249" s="22"/>
      <c r="CTU249" s="22"/>
      <c r="CTV249" s="22"/>
      <c r="CTW249" s="22"/>
      <c r="CTX249" s="22"/>
      <c r="CTY249" s="22"/>
      <c r="CTZ249" s="22"/>
      <c r="CUA249" s="22"/>
      <c r="CUB249" s="22"/>
      <c r="CUC249" s="22"/>
      <c r="CUD249" s="22"/>
      <c r="CUE249" s="22"/>
      <c r="CUF249" s="22"/>
      <c r="CUG249" s="22"/>
      <c r="CUH249" s="22"/>
      <c r="CUI249" s="22"/>
      <c r="CUJ249" s="22"/>
      <c r="CUK249" s="22"/>
      <c r="CUL249" s="22"/>
      <c r="CUM249" s="22"/>
      <c r="CUN249" s="22"/>
      <c r="CUO249" s="22"/>
      <c r="CUP249" s="22"/>
      <c r="CUQ249" s="22"/>
      <c r="CUR249" s="22"/>
      <c r="CUS249" s="22"/>
      <c r="CUT249" s="22"/>
      <c r="CUU249" s="22"/>
      <c r="CUV249" s="22"/>
      <c r="CUW249" s="22"/>
      <c r="CUX249" s="22"/>
      <c r="CUY249" s="22"/>
      <c r="CUZ249" s="22"/>
      <c r="CVA249" s="22"/>
      <c r="CVB249" s="22"/>
      <c r="CVC249" s="22"/>
      <c r="CVD249" s="22"/>
      <c r="CVE249" s="22"/>
      <c r="CVF249" s="22"/>
      <c r="CVG249" s="22"/>
      <c r="CVH249" s="22"/>
      <c r="CVI249" s="22"/>
      <c r="CVJ249" s="22"/>
      <c r="CVK249" s="22"/>
      <c r="CVL249" s="22"/>
      <c r="CVM249" s="22"/>
      <c r="CVN249" s="22"/>
      <c r="CVO249" s="22"/>
      <c r="CVP249" s="22"/>
      <c r="CVQ249" s="22"/>
      <c r="CVR249" s="22"/>
      <c r="CVS249" s="22"/>
      <c r="CVT249" s="22"/>
      <c r="CVU249" s="22"/>
      <c r="CVV249" s="22"/>
      <c r="CVW249" s="22"/>
      <c r="CVX249" s="22"/>
      <c r="CVY249" s="22"/>
      <c r="CVZ249" s="22"/>
      <c r="CWA249" s="22"/>
      <c r="CWB249" s="22"/>
      <c r="CWC249" s="22"/>
      <c r="CWD249" s="22"/>
      <c r="CWE249" s="22"/>
      <c r="CWF249" s="22"/>
      <c r="CWG249" s="22"/>
      <c r="CWH249" s="22"/>
      <c r="CWI249" s="22"/>
      <c r="CWJ249" s="22"/>
      <c r="CWK249" s="22"/>
      <c r="CWL249" s="22"/>
      <c r="CWM249" s="22"/>
      <c r="CWN249" s="22"/>
      <c r="CWO249" s="22"/>
      <c r="CWP249" s="22"/>
      <c r="CWQ249" s="22"/>
      <c r="CWR249" s="22"/>
      <c r="CWS249" s="22"/>
      <c r="CWT249" s="22"/>
      <c r="CWU249" s="22"/>
      <c r="CWV249" s="22"/>
      <c r="CWW249" s="22"/>
      <c r="CWX249" s="22"/>
      <c r="CWY249" s="22"/>
      <c r="CWZ249" s="22"/>
      <c r="CXA249" s="22"/>
      <c r="CXB249" s="22"/>
      <c r="CXC249" s="22"/>
      <c r="CXD249" s="22"/>
      <c r="CXE249" s="22"/>
      <c r="CXF249" s="22"/>
      <c r="CXG249" s="22"/>
      <c r="CXH249" s="22"/>
      <c r="CXI249" s="22"/>
      <c r="CXJ249" s="22"/>
      <c r="CXK249" s="22"/>
      <c r="CXL249" s="22"/>
      <c r="CXM249" s="22"/>
      <c r="CXN249" s="22"/>
      <c r="CXO249" s="22"/>
      <c r="CXP249" s="22"/>
      <c r="CXQ249" s="22"/>
      <c r="CXR249" s="22"/>
      <c r="CXS249" s="22"/>
      <c r="CXT249" s="22"/>
      <c r="CXU249" s="22"/>
      <c r="CXV249" s="22"/>
      <c r="CXW249" s="22"/>
      <c r="CXX249" s="22"/>
      <c r="CXY249" s="22"/>
      <c r="CXZ249" s="22"/>
      <c r="CYA249" s="22"/>
      <c r="CYB249" s="22"/>
      <c r="CYC249" s="22"/>
      <c r="CYD249" s="22"/>
      <c r="CYE249" s="22"/>
      <c r="CYF249" s="22"/>
      <c r="CYG249" s="22"/>
      <c r="CYH249" s="22"/>
      <c r="CYI249" s="22"/>
      <c r="CYJ249" s="22"/>
      <c r="CYK249" s="22"/>
      <c r="CYL249" s="22"/>
      <c r="CYM249" s="22"/>
      <c r="CYN249" s="22"/>
      <c r="CYO249" s="22"/>
      <c r="CYP249" s="22"/>
      <c r="CYQ249" s="22"/>
      <c r="CYR249" s="22"/>
      <c r="CYS249" s="22"/>
      <c r="CYT249" s="22"/>
      <c r="CYU249" s="22"/>
      <c r="CYV249" s="22"/>
      <c r="CYW249" s="22"/>
      <c r="CYX249" s="22"/>
      <c r="CYY249" s="22"/>
      <c r="CYZ249" s="22"/>
      <c r="CZA249" s="22"/>
      <c r="CZB249" s="22"/>
      <c r="CZC249" s="22"/>
      <c r="CZD249" s="22"/>
      <c r="CZE249" s="22"/>
      <c r="CZF249" s="22"/>
      <c r="CZG249" s="22"/>
      <c r="CZH249" s="22"/>
      <c r="CZI249" s="22"/>
      <c r="CZJ249" s="22"/>
      <c r="CZK249" s="22"/>
      <c r="CZL249" s="22"/>
      <c r="CZM249" s="22"/>
      <c r="CZN249" s="22"/>
      <c r="CZO249" s="22"/>
      <c r="CZP249" s="22"/>
      <c r="CZQ249" s="22"/>
      <c r="CZR249" s="22"/>
      <c r="CZS249" s="22"/>
      <c r="CZT249" s="22"/>
      <c r="CZU249" s="22"/>
      <c r="CZV249" s="22"/>
      <c r="CZW249" s="22"/>
      <c r="CZX249" s="22"/>
      <c r="CZY249" s="22"/>
      <c r="CZZ249" s="22"/>
      <c r="DAA249" s="22"/>
      <c r="DAB249" s="22"/>
      <c r="DAC249" s="22"/>
      <c r="DAD249" s="22"/>
      <c r="DAE249" s="22"/>
      <c r="DAF249" s="22"/>
      <c r="DAG249" s="22"/>
      <c r="DAH249" s="22"/>
      <c r="DAI249" s="22"/>
      <c r="DAJ249" s="22"/>
      <c r="DAK249" s="22"/>
      <c r="DAL249" s="22"/>
      <c r="DAM249" s="22"/>
      <c r="DAN249" s="22"/>
      <c r="DAO249" s="22"/>
      <c r="DAP249" s="22"/>
      <c r="DAQ249" s="22"/>
      <c r="DAR249" s="22"/>
      <c r="DAS249" s="22"/>
      <c r="DAT249" s="22"/>
      <c r="DAU249" s="22"/>
      <c r="DAV249" s="22"/>
      <c r="DAW249" s="22"/>
      <c r="DAX249" s="22"/>
      <c r="DAY249" s="22"/>
      <c r="DAZ249" s="22"/>
      <c r="DBA249" s="22"/>
      <c r="DBB249" s="22"/>
      <c r="DBC249" s="22"/>
      <c r="DBD249" s="22"/>
      <c r="DBE249" s="22"/>
      <c r="DBF249" s="22"/>
      <c r="DBG249" s="22"/>
      <c r="DBH249" s="22"/>
      <c r="DBI249" s="22"/>
      <c r="DBJ249" s="22"/>
      <c r="DBK249" s="22"/>
      <c r="DBL249" s="22"/>
      <c r="DBM249" s="22"/>
      <c r="DBN249" s="22"/>
      <c r="DBO249" s="22"/>
      <c r="DBP249" s="22"/>
      <c r="DBQ249" s="22"/>
      <c r="DBR249" s="22"/>
      <c r="DBS249" s="22"/>
      <c r="DBT249" s="22"/>
      <c r="DBU249" s="22"/>
      <c r="DBV249" s="22"/>
      <c r="DBW249" s="22"/>
      <c r="DBX249" s="22"/>
      <c r="DBY249" s="22"/>
      <c r="DBZ249" s="22"/>
      <c r="DCA249" s="22"/>
      <c r="DCB249" s="22"/>
      <c r="DCC249" s="22"/>
      <c r="DCD249" s="22"/>
      <c r="DCE249" s="22"/>
      <c r="DCF249" s="22"/>
      <c r="DCG249" s="22"/>
      <c r="DCH249" s="22"/>
      <c r="DCI249" s="22"/>
      <c r="DCJ249" s="22"/>
      <c r="DCK249" s="22"/>
      <c r="DCL249" s="22"/>
      <c r="DCM249" s="22"/>
      <c r="DCN249" s="22"/>
      <c r="DCO249" s="22"/>
      <c r="DCP249" s="22"/>
      <c r="DCQ249" s="22"/>
      <c r="DCR249" s="22"/>
      <c r="DCS249" s="22"/>
      <c r="DCT249" s="22"/>
      <c r="DCU249" s="22"/>
      <c r="DCV249" s="22"/>
      <c r="DCW249" s="22"/>
      <c r="DCX249" s="22"/>
      <c r="DCY249" s="22"/>
      <c r="DCZ249" s="22"/>
      <c r="DDA249" s="22"/>
      <c r="DDB249" s="22"/>
      <c r="DDC249" s="22"/>
      <c r="DDD249" s="22"/>
      <c r="DDE249" s="22"/>
      <c r="DDF249" s="22"/>
      <c r="DDG249" s="22"/>
      <c r="DDH249" s="22"/>
      <c r="DDI249" s="22"/>
      <c r="DDJ249" s="22"/>
      <c r="DDK249" s="22"/>
      <c r="DDL249" s="22"/>
      <c r="DDM249" s="22"/>
      <c r="DDN249" s="22"/>
      <c r="DDO249" s="22"/>
      <c r="DDP249" s="22"/>
      <c r="DDQ249" s="22"/>
      <c r="DDR249" s="22"/>
      <c r="DDS249" s="22"/>
      <c r="DDT249" s="22"/>
      <c r="DDU249" s="22"/>
      <c r="DDV249" s="22"/>
      <c r="DDW249" s="22"/>
      <c r="DDX249" s="22"/>
      <c r="DDY249" s="22"/>
      <c r="DDZ249" s="22"/>
      <c r="DEA249" s="22"/>
      <c r="DEB249" s="22"/>
      <c r="DEC249" s="22"/>
      <c r="DED249" s="22"/>
      <c r="DEE249" s="22"/>
      <c r="DEF249" s="22"/>
      <c r="DEG249" s="22"/>
      <c r="DEH249" s="22"/>
      <c r="DEI249" s="22"/>
      <c r="DEJ249" s="22"/>
      <c r="DEK249" s="22"/>
      <c r="DEL249" s="22"/>
      <c r="DEM249" s="22"/>
      <c r="DEN249" s="22"/>
      <c r="DEO249" s="22"/>
      <c r="DEP249" s="22"/>
      <c r="DEQ249" s="22"/>
      <c r="DER249" s="22"/>
      <c r="DES249" s="22"/>
      <c r="DET249" s="22"/>
      <c r="DEU249" s="22"/>
      <c r="DEV249" s="22"/>
      <c r="DEW249" s="22"/>
      <c r="DEX249" s="22"/>
      <c r="DEY249" s="22"/>
      <c r="DEZ249" s="22"/>
      <c r="DFA249" s="22"/>
      <c r="DFB249" s="22"/>
      <c r="DFC249" s="22"/>
      <c r="DFD249" s="22"/>
      <c r="DFE249" s="22"/>
      <c r="DFF249" s="22"/>
      <c r="DFG249" s="22"/>
      <c r="DFH249" s="22"/>
      <c r="DFI249" s="22"/>
      <c r="DFJ249" s="22"/>
      <c r="DFK249" s="22"/>
      <c r="DFL249" s="22"/>
      <c r="DFM249" s="22"/>
      <c r="DFN249" s="22"/>
      <c r="DFO249" s="22"/>
      <c r="DFP249" s="22"/>
      <c r="DFQ249" s="22"/>
      <c r="DFR249" s="22"/>
      <c r="DFS249" s="22"/>
      <c r="DFT249" s="22"/>
      <c r="DFU249" s="22"/>
      <c r="DFV249" s="22"/>
      <c r="DFW249" s="22"/>
      <c r="DFX249" s="22"/>
      <c r="DFY249" s="22"/>
      <c r="DFZ249" s="22"/>
      <c r="DGA249" s="22"/>
      <c r="DGB249" s="22"/>
      <c r="DGC249" s="22"/>
      <c r="DGD249" s="22"/>
      <c r="DGE249" s="22"/>
      <c r="DGF249" s="22"/>
      <c r="DGG249" s="22"/>
      <c r="DGH249" s="22"/>
      <c r="DGI249" s="22"/>
      <c r="DGJ249" s="22"/>
      <c r="DGK249" s="22"/>
      <c r="DGL249" s="22"/>
      <c r="DGM249" s="22"/>
      <c r="DGN249" s="22"/>
      <c r="DGO249" s="22"/>
      <c r="DGP249" s="22"/>
      <c r="DGQ249" s="22"/>
      <c r="DGR249" s="22"/>
      <c r="DGS249" s="22"/>
      <c r="DGT249" s="22"/>
      <c r="DGU249" s="22"/>
      <c r="DGV249" s="22"/>
      <c r="DGW249" s="22"/>
      <c r="DGX249" s="22"/>
      <c r="DGY249" s="22"/>
      <c r="DGZ249" s="22"/>
      <c r="DHA249" s="22"/>
      <c r="DHB249" s="22"/>
      <c r="DHC249" s="22"/>
      <c r="DHD249" s="22"/>
      <c r="DHE249" s="22"/>
      <c r="DHF249" s="22"/>
      <c r="DHG249" s="22"/>
      <c r="DHH249" s="22"/>
      <c r="DHI249" s="22"/>
      <c r="DHJ249" s="22"/>
      <c r="DHK249" s="22"/>
      <c r="DHL249" s="22"/>
      <c r="DHM249" s="22"/>
      <c r="DHN249" s="22"/>
      <c r="DHO249" s="22"/>
      <c r="DHP249" s="22"/>
      <c r="DHQ249" s="22"/>
      <c r="DHR249" s="22"/>
      <c r="DHS249" s="22"/>
      <c r="DHT249" s="22"/>
      <c r="DHU249" s="22"/>
      <c r="DHV249" s="22"/>
      <c r="DHW249" s="22"/>
      <c r="DHX249" s="22"/>
      <c r="DHY249" s="22"/>
      <c r="DHZ249" s="22"/>
      <c r="DIA249" s="22"/>
      <c r="DIB249" s="22"/>
      <c r="DIC249" s="22"/>
      <c r="DID249" s="22"/>
      <c r="DIE249" s="22"/>
      <c r="DIF249" s="22"/>
      <c r="DIG249" s="22"/>
      <c r="DIH249" s="22"/>
      <c r="DII249" s="22"/>
      <c r="DIJ249" s="22"/>
      <c r="DIK249" s="22"/>
      <c r="DIL249" s="22"/>
      <c r="DIM249" s="22"/>
      <c r="DIN249" s="22"/>
      <c r="DIO249" s="22"/>
      <c r="DIP249" s="22"/>
      <c r="DIQ249" s="22"/>
      <c r="DIR249" s="22"/>
      <c r="DIS249" s="22"/>
      <c r="DIT249" s="22"/>
      <c r="DIU249" s="22"/>
      <c r="DIV249" s="22"/>
      <c r="DIW249" s="22"/>
      <c r="DIX249" s="22"/>
      <c r="DIY249" s="22"/>
      <c r="DIZ249" s="22"/>
      <c r="DJA249" s="22"/>
      <c r="DJB249" s="22"/>
      <c r="DJC249" s="22"/>
      <c r="DJD249" s="22"/>
      <c r="DJE249" s="22"/>
      <c r="DJF249" s="22"/>
      <c r="DJG249" s="22"/>
      <c r="DJH249" s="22"/>
      <c r="DJI249" s="22"/>
      <c r="DJJ249" s="22"/>
      <c r="DJK249" s="22"/>
      <c r="DJL249" s="22"/>
      <c r="DJM249" s="22"/>
      <c r="DJN249" s="22"/>
      <c r="DJO249" s="22"/>
      <c r="DJP249" s="22"/>
      <c r="DJQ249" s="22"/>
      <c r="DJR249" s="22"/>
      <c r="DJS249" s="22"/>
      <c r="DJT249" s="22"/>
      <c r="DJU249" s="22"/>
      <c r="DJV249" s="22"/>
      <c r="DJW249" s="22"/>
      <c r="DJX249" s="22"/>
      <c r="DJY249" s="22"/>
      <c r="DJZ249" s="22"/>
      <c r="DKA249" s="22"/>
      <c r="DKB249" s="22"/>
      <c r="DKC249" s="22"/>
      <c r="DKD249" s="22"/>
      <c r="DKE249" s="22"/>
      <c r="DKF249" s="22"/>
      <c r="DKG249" s="22"/>
      <c r="DKH249" s="22"/>
      <c r="DKI249" s="22"/>
      <c r="DKJ249" s="22"/>
      <c r="DKK249" s="22"/>
      <c r="DKL249" s="22"/>
      <c r="DKM249" s="22"/>
      <c r="DKN249" s="22"/>
      <c r="DKO249" s="22"/>
      <c r="DKP249" s="22"/>
      <c r="DKQ249" s="22"/>
      <c r="DKR249" s="22"/>
      <c r="DKS249" s="22"/>
      <c r="DKT249" s="22"/>
      <c r="DKU249" s="22"/>
      <c r="DKV249" s="22"/>
      <c r="DKW249" s="22"/>
      <c r="DKX249" s="22"/>
      <c r="DKY249" s="22"/>
      <c r="DKZ249" s="22"/>
      <c r="DLA249" s="22"/>
      <c r="DLB249" s="22"/>
      <c r="DLC249" s="22"/>
      <c r="DLD249" s="22"/>
      <c r="DLE249" s="22"/>
      <c r="DLF249" s="22"/>
      <c r="DLG249" s="22"/>
      <c r="DLH249" s="22"/>
      <c r="DLI249" s="22"/>
      <c r="DLJ249" s="22"/>
      <c r="DLK249" s="22"/>
      <c r="DLL249" s="22"/>
      <c r="DLM249" s="22"/>
      <c r="DLN249" s="22"/>
      <c r="DLO249" s="22"/>
      <c r="DLP249" s="22"/>
      <c r="DLQ249" s="22"/>
      <c r="DLR249" s="22"/>
      <c r="DLS249" s="22"/>
      <c r="DLT249" s="22"/>
      <c r="DLU249" s="22"/>
      <c r="DLV249" s="22"/>
      <c r="DLW249" s="22"/>
      <c r="DLX249" s="22"/>
      <c r="DLY249" s="22"/>
      <c r="DLZ249" s="22"/>
      <c r="DMA249" s="22"/>
      <c r="DMB249" s="22"/>
      <c r="DMC249" s="22"/>
      <c r="DMD249" s="22"/>
      <c r="DME249" s="22"/>
      <c r="DMF249" s="22"/>
      <c r="DMG249" s="22"/>
      <c r="DMH249" s="22"/>
      <c r="DMI249" s="22"/>
      <c r="DMJ249" s="22"/>
      <c r="DMK249" s="22"/>
      <c r="DML249" s="22"/>
      <c r="DMM249" s="22"/>
      <c r="DMN249" s="22"/>
      <c r="DMO249" s="22"/>
      <c r="DMP249" s="22"/>
      <c r="DMQ249" s="22"/>
      <c r="DMR249" s="22"/>
      <c r="DMS249" s="22"/>
      <c r="DMT249" s="22"/>
      <c r="DMU249" s="22"/>
      <c r="DMV249" s="22"/>
      <c r="DMW249" s="22"/>
      <c r="DMX249" s="22"/>
      <c r="DMY249" s="22"/>
      <c r="DMZ249" s="22"/>
      <c r="DNA249" s="22"/>
      <c r="DNB249" s="22"/>
      <c r="DNC249" s="22"/>
      <c r="DND249" s="22"/>
      <c r="DNE249" s="22"/>
      <c r="DNF249" s="22"/>
      <c r="DNG249" s="22"/>
      <c r="DNH249" s="22"/>
      <c r="DNI249" s="22"/>
      <c r="DNJ249" s="22"/>
      <c r="DNK249" s="22"/>
      <c r="DNL249" s="22"/>
      <c r="DNM249" s="22"/>
      <c r="DNN249" s="22"/>
      <c r="DNO249" s="22"/>
      <c r="DNP249" s="22"/>
      <c r="DNQ249" s="22"/>
      <c r="DNR249" s="22"/>
      <c r="DNS249" s="22"/>
      <c r="DNT249" s="22"/>
      <c r="DNU249" s="22"/>
      <c r="DNV249" s="22"/>
      <c r="DNW249" s="22"/>
      <c r="DNX249" s="22"/>
      <c r="DNY249" s="22"/>
      <c r="DNZ249" s="22"/>
      <c r="DOA249" s="22"/>
      <c r="DOB249" s="22"/>
      <c r="DOC249" s="22"/>
      <c r="DOD249" s="22"/>
      <c r="DOE249" s="22"/>
      <c r="DOF249" s="22"/>
      <c r="DOG249" s="22"/>
      <c r="DOH249" s="22"/>
      <c r="DOI249" s="22"/>
      <c r="DOJ249" s="22"/>
      <c r="DOK249" s="22"/>
      <c r="DOL249" s="22"/>
      <c r="DOM249" s="22"/>
      <c r="DON249" s="22"/>
      <c r="DOO249" s="22"/>
      <c r="DOP249" s="22"/>
      <c r="DOQ249" s="22"/>
      <c r="DOR249" s="22"/>
      <c r="DOS249" s="22"/>
      <c r="DOT249" s="22"/>
      <c r="DOU249" s="22"/>
      <c r="DOV249" s="22"/>
      <c r="DOW249" s="22"/>
      <c r="DOX249" s="22"/>
      <c r="DOY249" s="22"/>
      <c r="DOZ249" s="22"/>
      <c r="DPA249" s="22"/>
      <c r="DPB249" s="22"/>
      <c r="DPC249" s="22"/>
      <c r="DPD249" s="22"/>
      <c r="DPE249" s="22"/>
      <c r="DPF249" s="22"/>
      <c r="DPG249" s="22"/>
      <c r="DPH249" s="22"/>
      <c r="DPI249" s="22"/>
      <c r="DPJ249" s="22"/>
      <c r="DPK249" s="22"/>
      <c r="DPL249" s="22"/>
      <c r="DPM249" s="22"/>
      <c r="DPN249" s="22"/>
      <c r="DPO249" s="22"/>
      <c r="DPP249" s="22"/>
      <c r="DPQ249" s="22"/>
      <c r="DPR249" s="22"/>
      <c r="DPS249" s="22"/>
      <c r="DPT249" s="22"/>
      <c r="DPU249" s="22"/>
      <c r="DPV249" s="22"/>
      <c r="DPW249" s="22"/>
      <c r="DPX249" s="22"/>
      <c r="DPY249" s="22"/>
      <c r="DPZ249" s="22"/>
      <c r="DQA249" s="22"/>
      <c r="DQB249" s="22"/>
      <c r="DQC249" s="22"/>
      <c r="DQD249" s="22"/>
      <c r="DQE249" s="22"/>
      <c r="DQF249" s="22"/>
      <c r="DQG249" s="22"/>
      <c r="DQH249" s="22"/>
      <c r="DQI249" s="22"/>
      <c r="DQJ249" s="22"/>
      <c r="DQK249" s="22"/>
      <c r="DQL249" s="22"/>
      <c r="DQM249" s="22"/>
      <c r="DQN249" s="22"/>
      <c r="DQO249" s="22"/>
      <c r="DQP249" s="22"/>
      <c r="DQQ249" s="22"/>
      <c r="DQR249" s="22"/>
      <c r="DQS249" s="22"/>
      <c r="DQT249" s="22"/>
      <c r="DQU249" s="22"/>
      <c r="DQV249" s="22"/>
      <c r="DQW249" s="22"/>
      <c r="DQX249" s="22"/>
      <c r="DQY249" s="22"/>
      <c r="DQZ249" s="22"/>
      <c r="DRA249" s="22"/>
      <c r="DRB249" s="22"/>
      <c r="DRC249" s="22"/>
      <c r="DRD249" s="22"/>
      <c r="DRE249" s="22"/>
      <c r="DRF249" s="22"/>
      <c r="DRG249" s="22"/>
      <c r="DRH249" s="22"/>
      <c r="DRI249" s="22"/>
      <c r="DRJ249" s="22"/>
      <c r="DRK249" s="22"/>
      <c r="DRL249" s="22"/>
      <c r="DRM249" s="22"/>
      <c r="DRN249" s="22"/>
      <c r="DRO249" s="22"/>
      <c r="DRP249" s="22"/>
      <c r="DRQ249" s="22"/>
      <c r="DRR249" s="22"/>
      <c r="DRS249" s="22"/>
      <c r="DRT249" s="22"/>
      <c r="DRU249" s="22"/>
      <c r="DRV249" s="22"/>
      <c r="DRW249" s="22"/>
      <c r="DRX249" s="22"/>
      <c r="DRY249" s="22"/>
      <c r="DRZ249" s="22"/>
      <c r="DSA249" s="22"/>
      <c r="DSB249" s="22"/>
      <c r="DSC249" s="22"/>
      <c r="DSD249" s="22"/>
      <c r="DSE249" s="22"/>
      <c r="DSF249" s="22"/>
      <c r="DSG249" s="22"/>
      <c r="DSH249" s="22"/>
      <c r="DSI249" s="22"/>
      <c r="DSJ249" s="22"/>
      <c r="DSK249" s="22"/>
      <c r="DSL249" s="22"/>
      <c r="DSM249" s="22"/>
      <c r="DSN249" s="22"/>
      <c r="DSO249" s="22"/>
      <c r="DSP249" s="22"/>
      <c r="DSQ249" s="22"/>
      <c r="DSR249" s="22"/>
      <c r="DSS249" s="22"/>
      <c r="DST249" s="22"/>
      <c r="DSU249" s="22"/>
      <c r="DSV249" s="22"/>
      <c r="DSW249" s="22"/>
      <c r="DSX249" s="22"/>
      <c r="DSY249" s="22"/>
      <c r="DSZ249" s="22"/>
      <c r="DTA249" s="22"/>
      <c r="DTB249" s="22"/>
      <c r="DTC249" s="22"/>
      <c r="DTD249" s="22"/>
      <c r="DTE249" s="22"/>
      <c r="DTF249" s="22"/>
      <c r="DTG249" s="22"/>
      <c r="DTH249" s="22"/>
      <c r="DTI249" s="22"/>
      <c r="DTJ249" s="22"/>
      <c r="DTK249" s="22"/>
      <c r="DTL249" s="22"/>
      <c r="DTM249" s="22"/>
      <c r="DTN249" s="22"/>
      <c r="DTO249" s="22"/>
      <c r="DTP249" s="22"/>
      <c r="DTQ249" s="22"/>
      <c r="DTR249" s="22"/>
      <c r="DTS249" s="22"/>
      <c r="DTT249" s="22"/>
      <c r="DTU249" s="22"/>
      <c r="DTV249" s="22"/>
      <c r="DTW249" s="22"/>
      <c r="DTX249" s="22"/>
      <c r="DTY249" s="22"/>
      <c r="DTZ249" s="22"/>
      <c r="DUA249" s="22"/>
      <c r="DUB249" s="22"/>
      <c r="DUC249" s="22"/>
      <c r="DUD249" s="22"/>
      <c r="DUE249" s="22"/>
      <c r="DUF249" s="22"/>
      <c r="DUG249" s="22"/>
      <c r="DUH249" s="22"/>
      <c r="DUI249" s="22"/>
      <c r="DUJ249" s="22"/>
      <c r="DUK249" s="22"/>
      <c r="DUL249" s="22"/>
      <c r="DUM249" s="22"/>
      <c r="DUN249" s="22"/>
      <c r="DUO249" s="22"/>
      <c r="DUP249" s="22"/>
      <c r="DUQ249" s="22"/>
      <c r="DUR249" s="22"/>
      <c r="DUS249" s="22"/>
      <c r="DUT249" s="22"/>
      <c r="DUU249" s="22"/>
      <c r="DUV249" s="22"/>
      <c r="DUW249" s="22"/>
      <c r="DUX249" s="22"/>
      <c r="DUY249" s="22"/>
      <c r="DUZ249" s="22"/>
      <c r="DVA249" s="22"/>
      <c r="DVB249" s="22"/>
      <c r="DVC249" s="22"/>
      <c r="DVD249" s="22"/>
      <c r="DVE249" s="22"/>
      <c r="DVF249" s="22"/>
      <c r="DVG249" s="22"/>
      <c r="DVH249" s="22"/>
      <c r="DVI249" s="22"/>
      <c r="DVJ249" s="22"/>
      <c r="DVK249" s="22"/>
      <c r="DVL249" s="22"/>
      <c r="DVM249" s="22"/>
      <c r="DVN249" s="22"/>
      <c r="DVO249" s="22"/>
      <c r="DVP249" s="22"/>
      <c r="DVQ249" s="22"/>
      <c r="DVR249" s="22"/>
      <c r="DVS249" s="22"/>
      <c r="DVT249" s="22"/>
      <c r="DVU249" s="22"/>
      <c r="DVV249" s="22"/>
      <c r="DVW249" s="22"/>
      <c r="DVX249" s="22"/>
      <c r="DVY249" s="22"/>
      <c r="DVZ249" s="22"/>
      <c r="DWA249" s="22"/>
      <c r="DWB249" s="22"/>
      <c r="DWC249" s="22"/>
      <c r="DWD249" s="22"/>
      <c r="DWE249" s="22"/>
      <c r="DWF249" s="22"/>
      <c r="DWG249" s="22"/>
      <c r="DWH249" s="22"/>
      <c r="DWI249" s="22"/>
      <c r="DWJ249" s="22"/>
      <c r="DWK249" s="22"/>
      <c r="DWL249" s="22"/>
      <c r="DWM249" s="22"/>
      <c r="DWN249" s="22"/>
      <c r="DWO249" s="22"/>
      <c r="DWP249" s="22"/>
      <c r="DWQ249" s="22"/>
      <c r="DWR249" s="22"/>
      <c r="DWS249" s="22"/>
      <c r="DWT249" s="22"/>
      <c r="DWU249" s="22"/>
      <c r="DWV249" s="22"/>
      <c r="DWW249" s="22"/>
      <c r="DWX249" s="22"/>
      <c r="DWY249" s="22"/>
      <c r="DWZ249" s="22"/>
      <c r="DXA249" s="22"/>
      <c r="DXB249" s="22"/>
      <c r="DXC249" s="22"/>
      <c r="DXD249" s="22"/>
      <c r="DXE249" s="22"/>
      <c r="DXF249" s="22"/>
      <c r="DXG249" s="22"/>
      <c r="DXH249" s="22"/>
      <c r="DXI249" s="22"/>
      <c r="DXJ249" s="22"/>
      <c r="DXK249" s="22"/>
      <c r="DXL249" s="22"/>
      <c r="DXM249" s="22"/>
      <c r="DXN249" s="22"/>
      <c r="DXO249" s="22"/>
      <c r="DXP249" s="22"/>
      <c r="DXQ249" s="22"/>
      <c r="DXR249" s="22"/>
      <c r="DXS249" s="22"/>
      <c r="DXT249" s="22"/>
      <c r="DXU249" s="22"/>
      <c r="DXV249" s="22"/>
      <c r="DXW249" s="22"/>
      <c r="DXX249" s="22"/>
      <c r="DXY249" s="22"/>
      <c r="DXZ249" s="22"/>
      <c r="DYA249" s="22"/>
      <c r="DYB249" s="22"/>
      <c r="DYC249" s="22"/>
      <c r="DYD249" s="22"/>
      <c r="DYE249" s="22"/>
      <c r="DYF249" s="22"/>
      <c r="DYG249" s="22"/>
      <c r="DYH249" s="22"/>
      <c r="DYI249" s="22"/>
      <c r="DYJ249" s="22"/>
      <c r="DYK249" s="22"/>
      <c r="DYL249" s="22"/>
      <c r="DYM249" s="22"/>
      <c r="DYN249" s="22"/>
      <c r="DYO249" s="22"/>
      <c r="DYP249" s="22"/>
      <c r="DYQ249" s="22"/>
      <c r="DYR249" s="22"/>
      <c r="DYS249" s="22"/>
      <c r="DYT249" s="22"/>
      <c r="DYU249" s="22"/>
      <c r="DYV249" s="22"/>
      <c r="DYW249" s="22"/>
      <c r="DYX249" s="22"/>
      <c r="DYY249" s="22"/>
      <c r="DYZ249" s="22"/>
      <c r="DZA249" s="22"/>
      <c r="DZB249" s="22"/>
      <c r="DZC249" s="22"/>
      <c r="DZD249" s="22"/>
      <c r="DZE249" s="22"/>
      <c r="DZF249" s="22"/>
      <c r="DZG249" s="22"/>
      <c r="DZH249" s="22"/>
      <c r="DZI249" s="22"/>
      <c r="DZJ249" s="22"/>
      <c r="DZK249" s="22"/>
      <c r="DZL249" s="22"/>
      <c r="DZM249" s="22"/>
      <c r="DZN249" s="22"/>
      <c r="DZO249" s="22"/>
      <c r="DZP249" s="22"/>
      <c r="DZQ249" s="22"/>
      <c r="DZR249" s="22"/>
      <c r="DZS249" s="22"/>
      <c r="DZT249" s="22"/>
      <c r="DZU249" s="22"/>
      <c r="DZV249" s="22"/>
      <c r="DZW249" s="22"/>
      <c r="DZX249" s="22"/>
      <c r="DZY249" s="22"/>
      <c r="DZZ249" s="22"/>
      <c r="EAA249" s="22"/>
      <c r="EAB249" s="22"/>
      <c r="EAC249" s="22"/>
      <c r="EAD249" s="22"/>
      <c r="EAE249" s="22"/>
      <c r="EAF249" s="22"/>
      <c r="EAG249" s="22"/>
      <c r="EAH249" s="22"/>
      <c r="EAI249" s="22"/>
      <c r="EAJ249" s="22"/>
      <c r="EAK249" s="22"/>
      <c r="EAL249" s="22"/>
      <c r="EAM249" s="22"/>
      <c r="EAN249" s="22"/>
      <c r="EAO249" s="22"/>
      <c r="EAP249" s="22"/>
      <c r="EAQ249" s="22"/>
      <c r="EAR249" s="22"/>
      <c r="EAS249" s="22"/>
      <c r="EAT249" s="22"/>
      <c r="EAU249" s="22"/>
      <c r="EAV249" s="22"/>
      <c r="EAW249" s="22"/>
      <c r="EAX249" s="22"/>
      <c r="EAY249" s="22"/>
      <c r="EAZ249" s="22"/>
      <c r="EBA249" s="22"/>
      <c r="EBB249" s="22"/>
      <c r="EBC249" s="22"/>
      <c r="EBD249" s="22"/>
      <c r="EBE249" s="22"/>
      <c r="EBF249" s="22"/>
      <c r="EBG249" s="22"/>
      <c r="EBH249" s="22"/>
      <c r="EBI249" s="22"/>
      <c r="EBJ249" s="22"/>
      <c r="EBK249" s="22"/>
      <c r="EBL249" s="22"/>
      <c r="EBM249" s="22"/>
      <c r="EBN249" s="22"/>
      <c r="EBO249" s="22"/>
      <c r="EBP249" s="22"/>
      <c r="EBQ249" s="22"/>
      <c r="EBR249" s="22"/>
      <c r="EBS249" s="22"/>
      <c r="EBT249" s="22"/>
      <c r="EBU249" s="22"/>
      <c r="EBV249" s="22"/>
      <c r="EBW249" s="22"/>
      <c r="EBX249" s="22"/>
      <c r="EBY249" s="22"/>
      <c r="EBZ249" s="22"/>
      <c r="ECA249" s="22"/>
      <c r="ECB249" s="22"/>
      <c r="ECC249" s="22"/>
      <c r="ECD249" s="22"/>
      <c r="ECE249" s="22"/>
      <c r="ECF249" s="22"/>
      <c r="ECG249" s="22"/>
      <c r="ECH249" s="22"/>
      <c r="ECI249" s="22"/>
      <c r="ECJ249" s="22"/>
      <c r="ECK249" s="22"/>
      <c r="ECL249" s="22"/>
      <c r="ECM249" s="22"/>
      <c r="ECN249" s="22"/>
      <c r="ECO249" s="22"/>
      <c r="ECP249" s="22"/>
      <c r="ECQ249" s="22"/>
      <c r="ECR249" s="22"/>
      <c r="ECS249" s="22"/>
      <c r="ECT249" s="22"/>
      <c r="ECU249" s="22"/>
      <c r="ECV249" s="22"/>
      <c r="ECW249" s="22"/>
      <c r="ECX249" s="22"/>
      <c r="ECY249" s="22"/>
      <c r="ECZ249" s="22"/>
      <c r="EDA249" s="22"/>
      <c r="EDB249" s="22"/>
      <c r="EDC249" s="22"/>
      <c r="EDD249" s="22"/>
      <c r="EDE249" s="22"/>
      <c r="EDF249" s="22"/>
      <c r="EDG249" s="22"/>
      <c r="EDH249" s="22"/>
      <c r="EDI249" s="22"/>
      <c r="EDJ249" s="22"/>
      <c r="EDK249" s="22"/>
      <c r="EDL249" s="22"/>
      <c r="EDM249" s="22"/>
      <c r="EDN249" s="22"/>
      <c r="EDO249" s="22"/>
      <c r="EDP249" s="22"/>
      <c r="EDQ249" s="22"/>
      <c r="EDR249" s="22"/>
      <c r="EDS249" s="22"/>
      <c r="EDT249" s="22"/>
      <c r="EDU249" s="22"/>
      <c r="EDV249" s="22"/>
      <c r="EDW249" s="22"/>
      <c r="EDX249" s="22"/>
      <c r="EDY249" s="22"/>
      <c r="EDZ249" s="22"/>
      <c r="EEA249" s="22"/>
      <c r="EEB249" s="22"/>
      <c r="EEC249" s="22"/>
      <c r="EED249" s="22"/>
      <c r="EEE249" s="22"/>
      <c r="EEF249" s="22"/>
      <c r="EEG249" s="22"/>
      <c r="EEH249" s="22"/>
      <c r="EEI249" s="22"/>
      <c r="EEJ249" s="22"/>
      <c r="EEK249" s="22"/>
      <c r="EEL249" s="22"/>
      <c r="EEM249" s="22"/>
      <c r="EEN249" s="22"/>
      <c r="EEO249" s="22"/>
      <c r="EEP249" s="22"/>
      <c r="EEQ249" s="22"/>
      <c r="EER249" s="22"/>
      <c r="EES249" s="22"/>
      <c r="EET249" s="22"/>
      <c r="EEU249" s="22"/>
      <c r="EEV249" s="22"/>
      <c r="EEW249" s="22"/>
      <c r="EEX249" s="22"/>
      <c r="EEY249" s="22"/>
      <c r="EEZ249" s="22"/>
      <c r="EFA249" s="22"/>
      <c r="EFB249" s="22"/>
      <c r="EFC249" s="22"/>
      <c r="EFD249" s="22"/>
      <c r="EFE249" s="22"/>
      <c r="EFF249" s="22"/>
      <c r="EFG249" s="22"/>
      <c r="EFH249" s="22"/>
      <c r="EFI249" s="22"/>
      <c r="EFJ249" s="22"/>
      <c r="EFK249" s="22"/>
      <c r="EFL249" s="22"/>
      <c r="EFM249" s="22"/>
      <c r="EFN249" s="22"/>
      <c r="EFO249" s="22"/>
      <c r="EFP249" s="22"/>
      <c r="EFQ249" s="22"/>
      <c r="EFR249" s="22"/>
      <c r="EFS249" s="22"/>
      <c r="EFT249" s="22"/>
      <c r="EFU249" s="22"/>
      <c r="EFV249" s="22"/>
      <c r="EFW249" s="22"/>
      <c r="EFX249" s="22"/>
      <c r="EFY249" s="22"/>
      <c r="EFZ249" s="22"/>
      <c r="EGA249" s="22"/>
      <c r="EGB249" s="22"/>
      <c r="EGC249" s="22"/>
      <c r="EGD249" s="22"/>
      <c r="EGE249" s="22"/>
      <c r="EGF249" s="22"/>
      <c r="EGG249" s="22"/>
      <c r="EGH249" s="22"/>
      <c r="EGI249" s="22"/>
      <c r="EGJ249" s="22"/>
      <c r="EGK249" s="22"/>
      <c r="EGL249" s="22"/>
      <c r="EGM249" s="22"/>
      <c r="EGN249" s="22"/>
      <c r="EGO249" s="22"/>
      <c r="EGP249" s="22"/>
      <c r="EGQ249" s="22"/>
      <c r="EGR249" s="22"/>
      <c r="EGS249" s="22"/>
      <c r="EGT249" s="22"/>
      <c r="EGU249" s="22"/>
      <c r="EGV249" s="22"/>
      <c r="EGW249" s="22"/>
      <c r="EGX249" s="22"/>
      <c r="EGY249" s="22"/>
      <c r="EGZ249" s="22"/>
      <c r="EHA249" s="22"/>
      <c r="EHB249" s="22"/>
      <c r="EHC249" s="22"/>
      <c r="EHD249" s="22"/>
      <c r="EHE249" s="22"/>
      <c r="EHF249" s="22"/>
      <c r="EHG249" s="22"/>
      <c r="EHH249" s="22"/>
      <c r="EHI249" s="22"/>
      <c r="EHJ249" s="22"/>
      <c r="EHK249" s="22"/>
      <c r="EHL249" s="22"/>
      <c r="EHM249" s="22"/>
      <c r="EHN249" s="22"/>
      <c r="EHO249" s="22"/>
      <c r="EHP249" s="22"/>
      <c r="EHQ249" s="22"/>
      <c r="EHR249" s="22"/>
      <c r="EHS249" s="22"/>
      <c r="EHT249" s="22"/>
      <c r="EHU249" s="22"/>
      <c r="EHV249" s="22"/>
      <c r="EHW249" s="22"/>
      <c r="EHX249" s="22"/>
      <c r="EHY249" s="22"/>
      <c r="EHZ249" s="22"/>
      <c r="EIA249" s="22"/>
      <c r="EIB249" s="22"/>
      <c r="EIC249" s="22"/>
      <c r="EID249" s="22"/>
      <c r="EIE249" s="22"/>
      <c r="EIF249" s="22"/>
      <c r="EIG249" s="22"/>
      <c r="EIH249" s="22"/>
      <c r="EII249" s="22"/>
      <c r="EIJ249" s="22"/>
      <c r="EIK249" s="22"/>
      <c r="EIL249" s="22"/>
      <c r="EIM249" s="22"/>
      <c r="EIN249" s="22"/>
      <c r="EIO249" s="22"/>
      <c r="EIP249" s="22"/>
      <c r="EIQ249" s="22"/>
      <c r="EIR249" s="22"/>
      <c r="EIS249" s="22"/>
      <c r="EIT249" s="22"/>
      <c r="EIU249" s="22"/>
      <c r="EIV249" s="22"/>
      <c r="EIW249" s="22"/>
      <c r="EIX249" s="22"/>
      <c r="EIY249" s="22"/>
      <c r="EIZ249" s="22"/>
      <c r="EJA249" s="22"/>
      <c r="EJB249" s="22"/>
      <c r="EJC249" s="22"/>
      <c r="EJD249" s="22"/>
      <c r="EJE249" s="22"/>
      <c r="EJF249" s="22"/>
      <c r="EJG249" s="22"/>
      <c r="EJH249" s="22"/>
      <c r="EJI249" s="22"/>
      <c r="EJJ249" s="22"/>
      <c r="EJK249" s="22"/>
      <c r="EJL249" s="22"/>
      <c r="EJM249" s="22"/>
      <c r="EJN249" s="22"/>
      <c r="EJO249" s="22"/>
      <c r="EJP249" s="22"/>
      <c r="EJQ249" s="22"/>
      <c r="EJR249" s="22"/>
      <c r="EJS249" s="22"/>
      <c r="EJT249" s="22"/>
      <c r="EJU249" s="22"/>
      <c r="EJV249" s="22"/>
      <c r="EJW249" s="22"/>
      <c r="EJX249" s="22"/>
      <c r="EJY249" s="22"/>
      <c r="EJZ249" s="22"/>
      <c r="EKA249" s="22"/>
      <c r="EKB249" s="22"/>
      <c r="EKC249" s="22"/>
      <c r="EKD249" s="22"/>
      <c r="EKE249" s="22"/>
      <c r="EKF249" s="22"/>
      <c r="EKG249" s="22"/>
      <c r="EKH249" s="22"/>
      <c r="EKI249" s="22"/>
      <c r="EKJ249" s="22"/>
      <c r="EKK249" s="22"/>
      <c r="EKL249" s="22"/>
      <c r="EKM249" s="22"/>
      <c r="EKN249" s="22"/>
      <c r="EKO249" s="22"/>
      <c r="EKP249" s="22"/>
      <c r="EKQ249" s="22"/>
      <c r="EKR249" s="22"/>
      <c r="EKS249" s="22"/>
      <c r="EKT249" s="22"/>
      <c r="EKU249" s="22"/>
      <c r="EKV249" s="22"/>
      <c r="EKW249" s="22"/>
      <c r="EKX249" s="22"/>
      <c r="EKY249" s="22"/>
      <c r="EKZ249" s="22"/>
      <c r="ELA249" s="22"/>
      <c r="ELB249" s="22"/>
      <c r="ELC249" s="22"/>
      <c r="ELD249" s="22"/>
      <c r="ELE249" s="22"/>
      <c r="ELF249" s="22"/>
      <c r="ELG249" s="22"/>
      <c r="ELH249" s="22"/>
      <c r="ELI249" s="22"/>
      <c r="ELJ249" s="22"/>
      <c r="ELK249" s="22"/>
      <c r="ELL249" s="22"/>
      <c r="ELM249" s="22"/>
      <c r="ELN249" s="22"/>
      <c r="ELO249" s="22"/>
      <c r="ELP249" s="22"/>
      <c r="ELQ249" s="22"/>
      <c r="ELR249" s="22"/>
      <c r="ELS249" s="22"/>
      <c r="ELT249" s="22"/>
      <c r="ELU249" s="22"/>
      <c r="ELV249" s="22"/>
      <c r="ELW249" s="22"/>
      <c r="ELX249" s="22"/>
      <c r="ELY249" s="22"/>
      <c r="ELZ249" s="22"/>
      <c r="EMA249" s="22"/>
      <c r="EMB249" s="22"/>
      <c r="EMC249" s="22"/>
      <c r="EMD249" s="22"/>
      <c r="EME249" s="22"/>
      <c r="EMF249" s="22"/>
      <c r="EMG249" s="22"/>
      <c r="EMH249" s="22"/>
      <c r="EMI249" s="22"/>
      <c r="EMJ249" s="22"/>
      <c r="EMK249" s="22"/>
      <c r="EML249" s="22"/>
      <c r="EMM249" s="22"/>
      <c r="EMN249" s="22"/>
      <c r="EMO249" s="22"/>
      <c r="EMP249" s="22"/>
      <c r="EMQ249" s="22"/>
      <c r="EMR249" s="22"/>
      <c r="EMS249" s="22"/>
      <c r="EMT249" s="22"/>
      <c r="EMU249" s="22"/>
      <c r="EMV249" s="22"/>
      <c r="EMW249" s="22"/>
      <c r="EMX249" s="22"/>
      <c r="EMY249" s="22"/>
      <c r="EMZ249" s="22"/>
      <c r="ENA249" s="22"/>
      <c r="ENB249" s="22"/>
      <c r="ENC249" s="22"/>
      <c r="END249" s="22"/>
      <c r="ENE249" s="22"/>
      <c r="ENF249" s="22"/>
      <c r="ENG249" s="22"/>
      <c r="ENH249" s="22"/>
      <c r="ENI249" s="22"/>
      <c r="ENJ249" s="22"/>
      <c r="ENK249" s="22"/>
      <c r="ENL249" s="22"/>
      <c r="ENM249" s="22"/>
      <c r="ENN249" s="22"/>
      <c r="ENO249" s="22"/>
      <c r="ENP249" s="22"/>
      <c r="ENQ249" s="22"/>
      <c r="ENR249" s="22"/>
      <c r="ENS249" s="22"/>
      <c r="ENT249" s="22"/>
      <c r="ENU249" s="22"/>
      <c r="ENV249" s="22"/>
      <c r="ENW249" s="22"/>
      <c r="ENX249" s="22"/>
      <c r="ENY249" s="22"/>
      <c r="ENZ249" s="22"/>
      <c r="EOA249" s="22"/>
      <c r="EOB249" s="22"/>
      <c r="EOC249" s="22"/>
      <c r="EOD249" s="22"/>
      <c r="EOE249" s="22"/>
      <c r="EOF249" s="22"/>
      <c r="EOG249" s="22"/>
      <c r="EOH249" s="22"/>
      <c r="EOI249" s="22"/>
      <c r="EOJ249" s="22"/>
      <c r="EOK249" s="22"/>
      <c r="EOL249" s="22"/>
      <c r="EOM249" s="22"/>
      <c r="EON249" s="22"/>
      <c r="EOO249" s="22"/>
      <c r="EOP249" s="22"/>
      <c r="EOQ249" s="22"/>
      <c r="EOR249" s="22"/>
      <c r="EOS249" s="22"/>
      <c r="EOT249" s="22"/>
      <c r="EOU249" s="22"/>
      <c r="EOV249" s="22"/>
      <c r="EOW249" s="22"/>
      <c r="EOX249" s="22"/>
      <c r="EOY249" s="22"/>
      <c r="EOZ249" s="22"/>
      <c r="EPA249" s="22"/>
      <c r="EPB249" s="22"/>
      <c r="EPC249" s="22"/>
      <c r="EPD249" s="22"/>
      <c r="EPE249" s="22"/>
      <c r="EPF249" s="22"/>
      <c r="EPG249" s="22"/>
      <c r="EPH249" s="22"/>
      <c r="EPI249" s="22"/>
      <c r="EPJ249" s="22"/>
      <c r="EPK249" s="22"/>
      <c r="EPL249" s="22"/>
      <c r="EPM249" s="22"/>
      <c r="EPN249" s="22"/>
      <c r="EPO249" s="22"/>
      <c r="EPP249" s="22"/>
      <c r="EPQ249" s="22"/>
      <c r="EPR249" s="22"/>
      <c r="EPS249" s="22"/>
      <c r="EPT249" s="22"/>
      <c r="EPU249" s="22"/>
      <c r="EPV249" s="22"/>
      <c r="EPW249" s="22"/>
      <c r="EPX249" s="22"/>
      <c r="EPY249" s="22"/>
      <c r="EPZ249" s="22"/>
      <c r="EQA249" s="22"/>
      <c r="EQB249" s="22"/>
      <c r="EQC249" s="22"/>
      <c r="EQD249" s="22"/>
      <c r="EQE249" s="22"/>
      <c r="EQF249" s="22"/>
      <c r="EQG249" s="22"/>
      <c r="EQH249" s="22"/>
      <c r="EQI249" s="22"/>
      <c r="EQJ249" s="22"/>
      <c r="EQK249" s="22"/>
      <c r="EQL249" s="22"/>
      <c r="EQM249" s="22"/>
      <c r="EQN249" s="22"/>
      <c r="EQO249" s="22"/>
      <c r="EQP249" s="22"/>
      <c r="EQQ249" s="22"/>
      <c r="EQR249" s="22"/>
      <c r="EQS249" s="22"/>
      <c r="EQT249" s="22"/>
      <c r="EQU249" s="22"/>
      <c r="EQV249" s="22"/>
      <c r="EQW249" s="22"/>
      <c r="EQX249" s="22"/>
      <c r="EQY249" s="22"/>
      <c r="EQZ249" s="22"/>
      <c r="ERA249" s="22"/>
      <c r="ERB249" s="22"/>
      <c r="ERC249" s="22"/>
      <c r="ERD249" s="22"/>
      <c r="ERE249" s="22"/>
      <c r="ERF249" s="22"/>
      <c r="ERG249" s="22"/>
      <c r="ERH249" s="22"/>
      <c r="ERI249" s="22"/>
      <c r="ERJ249" s="22"/>
      <c r="ERK249" s="22"/>
      <c r="ERL249" s="22"/>
      <c r="ERM249" s="22"/>
      <c r="ERN249" s="22"/>
      <c r="ERO249" s="22"/>
      <c r="ERP249" s="22"/>
      <c r="ERQ249" s="22"/>
      <c r="ERR249" s="22"/>
      <c r="ERS249" s="22"/>
      <c r="ERT249" s="22"/>
      <c r="ERU249" s="22"/>
      <c r="ERV249" s="22"/>
      <c r="ERW249" s="22"/>
      <c r="ERX249" s="22"/>
      <c r="ERY249" s="22"/>
      <c r="ERZ249" s="22"/>
      <c r="ESA249" s="22"/>
      <c r="ESB249" s="22"/>
      <c r="ESC249" s="22"/>
      <c r="ESD249" s="22"/>
      <c r="ESE249" s="22"/>
      <c r="ESF249" s="22"/>
      <c r="ESG249" s="22"/>
      <c r="ESH249" s="22"/>
      <c r="ESI249" s="22"/>
      <c r="ESJ249" s="22"/>
      <c r="ESK249" s="22"/>
      <c r="ESL249" s="22"/>
      <c r="ESM249" s="22"/>
      <c r="ESN249" s="22"/>
      <c r="ESO249" s="22"/>
      <c r="ESP249" s="22"/>
      <c r="ESQ249" s="22"/>
      <c r="ESR249" s="22"/>
      <c r="ESS249" s="22"/>
      <c r="EST249" s="22"/>
      <c r="ESU249" s="22"/>
      <c r="ESV249" s="22"/>
      <c r="ESW249" s="22"/>
      <c r="ESX249" s="22"/>
      <c r="ESY249" s="22"/>
      <c r="ESZ249" s="22"/>
      <c r="ETA249" s="22"/>
      <c r="ETB249" s="22"/>
      <c r="ETC249" s="22"/>
      <c r="ETD249" s="22"/>
      <c r="ETE249" s="22"/>
      <c r="ETF249" s="22"/>
      <c r="ETG249" s="22"/>
      <c r="ETH249" s="22"/>
      <c r="ETI249" s="22"/>
      <c r="ETJ249" s="22"/>
      <c r="ETK249" s="22"/>
      <c r="ETL249" s="22"/>
      <c r="ETM249" s="22"/>
      <c r="ETN249" s="22"/>
      <c r="ETO249" s="22"/>
      <c r="ETP249" s="22"/>
      <c r="ETQ249" s="22"/>
      <c r="ETR249" s="22"/>
      <c r="ETS249" s="22"/>
      <c r="ETT249" s="22"/>
      <c r="ETU249" s="22"/>
      <c r="ETV249" s="22"/>
      <c r="ETW249" s="22"/>
      <c r="ETX249" s="22"/>
      <c r="ETY249" s="22"/>
      <c r="ETZ249" s="22"/>
      <c r="EUA249" s="22"/>
      <c r="EUB249" s="22"/>
      <c r="EUC249" s="22"/>
      <c r="EUD249" s="22"/>
      <c r="EUE249" s="22"/>
      <c r="EUF249" s="22"/>
      <c r="EUG249" s="22"/>
      <c r="EUH249" s="22"/>
      <c r="EUI249" s="22"/>
      <c r="EUJ249" s="22"/>
      <c r="EUK249" s="22"/>
      <c r="EUL249" s="22"/>
      <c r="EUM249" s="22"/>
      <c r="EUN249" s="22"/>
      <c r="EUO249" s="22"/>
      <c r="EUP249" s="22"/>
      <c r="EUQ249" s="22"/>
      <c r="EUR249" s="22"/>
      <c r="EUS249" s="22"/>
      <c r="EUT249" s="22"/>
      <c r="EUU249" s="22"/>
      <c r="EUV249" s="22"/>
      <c r="EUW249" s="22"/>
      <c r="EUX249" s="22"/>
      <c r="EUY249" s="22"/>
      <c r="EUZ249" s="22"/>
      <c r="EVA249" s="22"/>
      <c r="EVB249" s="22"/>
      <c r="EVC249" s="22"/>
      <c r="EVD249" s="22"/>
      <c r="EVE249" s="22"/>
      <c r="EVF249" s="22"/>
      <c r="EVG249" s="22"/>
      <c r="EVH249" s="22"/>
      <c r="EVI249" s="22"/>
      <c r="EVJ249" s="22"/>
      <c r="EVK249" s="22"/>
      <c r="EVL249" s="22"/>
      <c r="EVM249" s="22"/>
      <c r="EVN249" s="22"/>
      <c r="EVO249" s="22"/>
      <c r="EVP249" s="22"/>
      <c r="EVQ249" s="22"/>
      <c r="EVR249" s="22"/>
      <c r="EVS249" s="22"/>
      <c r="EVT249" s="22"/>
      <c r="EVU249" s="22"/>
      <c r="EVV249" s="22"/>
      <c r="EVW249" s="22"/>
      <c r="EVX249" s="22"/>
      <c r="EVY249" s="22"/>
      <c r="EVZ249" s="22"/>
      <c r="EWA249" s="22"/>
      <c r="EWB249" s="22"/>
      <c r="EWC249" s="22"/>
      <c r="EWD249" s="22"/>
      <c r="EWE249" s="22"/>
      <c r="EWF249" s="22"/>
      <c r="EWG249" s="22"/>
      <c r="EWH249" s="22"/>
      <c r="EWI249" s="22"/>
      <c r="EWJ249" s="22"/>
      <c r="EWK249" s="22"/>
      <c r="EWL249" s="22"/>
      <c r="EWM249" s="22"/>
      <c r="EWN249" s="22"/>
      <c r="EWO249" s="22"/>
      <c r="EWP249" s="22"/>
      <c r="EWQ249" s="22"/>
      <c r="EWR249" s="22"/>
      <c r="EWS249" s="22"/>
      <c r="EWT249" s="22"/>
      <c r="EWU249" s="22"/>
      <c r="EWV249" s="22"/>
      <c r="EWW249" s="22"/>
      <c r="EWX249" s="22"/>
      <c r="EWY249" s="22"/>
      <c r="EWZ249" s="22"/>
      <c r="EXA249" s="22"/>
      <c r="EXB249" s="22"/>
      <c r="EXC249" s="22"/>
      <c r="EXD249" s="22"/>
      <c r="EXE249" s="22"/>
      <c r="EXF249" s="22"/>
      <c r="EXG249" s="22"/>
      <c r="EXH249" s="22"/>
      <c r="EXI249" s="22"/>
      <c r="EXJ249" s="22"/>
      <c r="EXK249" s="22"/>
      <c r="EXL249" s="22"/>
      <c r="EXM249" s="22"/>
      <c r="EXN249" s="22"/>
      <c r="EXO249" s="22"/>
      <c r="EXP249" s="22"/>
      <c r="EXQ249" s="22"/>
      <c r="EXR249" s="22"/>
      <c r="EXS249" s="22"/>
      <c r="EXT249" s="22"/>
      <c r="EXU249" s="22"/>
      <c r="EXV249" s="22"/>
      <c r="EXW249" s="22"/>
      <c r="EXX249" s="22"/>
      <c r="EXY249" s="22"/>
      <c r="EXZ249" s="22"/>
      <c r="EYA249" s="22"/>
      <c r="EYB249" s="22"/>
      <c r="EYC249" s="22"/>
      <c r="EYD249" s="22"/>
      <c r="EYE249" s="22"/>
      <c r="EYF249" s="22"/>
      <c r="EYG249" s="22"/>
      <c r="EYH249" s="22"/>
      <c r="EYI249" s="22"/>
      <c r="EYJ249" s="22"/>
      <c r="EYK249" s="22"/>
      <c r="EYL249" s="22"/>
      <c r="EYM249" s="22"/>
      <c r="EYN249" s="22"/>
      <c r="EYO249" s="22"/>
      <c r="EYP249" s="22"/>
      <c r="EYQ249" s="22"/>
      <c r="EYR249" s="22"/>
      <c r="EYS249" s="22"/>
      <c r="EYT249" s="22"/>
      <c r="EYU249" s="22"/>
      <c r="EYV249" s="22"/>
      <c r="EYW249" s="22"/>
      <c r="EYX249" s="22"/>
      <c r="EYY249" s="22"/>
      <c r="EYZ249" s="22"/>
      <c r="EZA249" s="22"/>
      <c r="EZB249" s="22"/>
      <c r="EZC249" s="22"/>
      <c r="EZD249" s="22"/>
      <c r="EZE249" s="22"/>
      <c r="EZF249" s="22"/>
      <c r="EZG249" s="22"/>
      <c r="EZH249" s="22"/>
      <c r="EZI249" s="22"/>
      <c r="EZJ249" s="22"/>
      <c r="EZK249" s="22"/>
      <c r="EZL249" s="22"/>
      <c r="EZM249" s="22"/>
      <c r="EZN249" s="22"/>
      <c r="EZO249" s="22"/>
      <c r="EZP249" s="22"/>
      <c r="EZQ249" s="22"/>
      <c r="EZR249" s="22"/>
      <c r="EZS249" s="22"/>
      <c r="EZT249" s="22"/>
      <c r="EZU249" s="22"/>
      <c r="EZV249" s="22"/>
      <c r="EZW249" s="22"/>
      <c r="EZX249" s="22"/>
      <c r="EZY249" s="22"/>
      <c r="EZZ249" s="22"/>
      <c r="FAA249" s="22"/>
      <c r="FAB249" s="22"/>
      <c r="FAC249" s="22"/>
      <c r="FAD249" s="22"/>
      <c r="FAE249" s="22"/>
      <c r="FAF249" s="22"/>
      <c r="FAG249" s="22"/>
      <c r="FAH249" s="22"/>
      <c r="FAI249" s="22"/>
      <c r="FAJ249" s="22"/>
      <c r="FAK249" s="22"/>
      <c r="FAL249" s="22"/>
      <c r="FAM249" s="22"/>
      <c r="FAN249" s="22"/>
      <c r="FAO249" s="22"/>
      <c r="FAP249" s="22"/>
      <c r="FAQ249" s="22"/>
      <c r="FAR249" s="22"/>
      <c r="FAS249" s="22"/>
      <c r="FAT249" s="22"/>
      <c r="FAU249" s="22"/>
      <c r="FAV249" s="22"/>
      <c r="FAW249" s="22"/>
      <c r="FAX249" s="22"/>
      <c r="FAY249" s="22"/>
      <c r="FAZ249" s="22"/>
      <c r="FBA249" s="22"/>
      <c r="FBB249" s="22"/>
      <c r="FBC249" s="22"/>
      <c r="FBD249" s="22"/>
      <c r="FBE249" s="22"/>
      <c r="FBF249" s="22"/>
      <c r="FBG249" s="22"/>
      <c r="FBH249" s="22"/>
      <c r="FBI249" s="22"/>
      <c r="FBJ249" s="22"/>
      <c r="FBK249" s="22"/>
      <c r="FBL249" s="22"/>
      <c r="FBM249" s="22"/>
      <c r="FBN249" s="22"/>
      <c r="FBO249" s="22"/>
      <c r="FBP249" s="22"/>
      <c r="FBQ249" s="22"/>
      <c r="FBR249" s="22"/>
      <c r="FBS249" s="22"/>
      <c r="FBT249" s="22"/>
      <c r="FBU249" s="22"/>
      <c r="FBV249" s="22"/>
      <c r="FBW249" s="22"/>
      <c r="FBX249" s="22"/>
      <c r="FBY249" s="22"/>
      <c r="FBZ249" s="22"/>
      <c r="FCA249" s="22"/>
      <c r="FCB249" s="22"/>
      <c r="FCC249" s="22"/>
      <c r="FCD249" s="22"/>
      <c r="FCE249" s="22"/>
      <c r="FCF249" s="22"/>
      <c r="FCG249" s="22"/>
      <c r="FCH249" s="22"/>
      <c r="FCI249" s="22"/>
      <c r="FCJ249" s="22"/>
      <c r="FCK249" s="22"/>
      <c r="FCL249" s="22"/>
      <c r="FCM249" s="22"/>
      <c r="FCN249" s="22"/>
      <c r="FCO249" s="22"/>
      <c r="FCP249" s="22"/>
      <c r="FCQ249" s="22"/>
      <c r="FCR249" s="22"/>
      <c r="FCS249" s="22"/>
      <c r="FCT249" s="22"/>
      <c r="FCU249" s="22"/>
      <c r="FCV249" s="22"/>
      <c r="FCW249" s="22"/>
      <c r="FCX249" s="22"/>
      <c r="FCY249" s="22"/>
      <c r="FCZ249" s="22"/>
      <c r="FDA249" s="22"/>
      <c r="FDB249" s="22"/>
      <c r="FDC249" s="22"/>
      <c r="FDD249" s="22"/>
      <c r="FDE249" s="22"/>
      <c r="FDF249" s="22"/>
      <c r="FDG249" s="22"/>
      <c r="FDH249" s="22"/>
      <c r="FDI249" s="22"/>
      <c r="FDJ249" s="22"/>
      <c r="FDK249" s="22"/>
      <c r="FDL249" s="22"/>
      <c r="FDM249" s="22"/>
      <c r="FDN249" s="22"/>
      <c r="FDO249" s="22"/>
      <c r="FDP249" s="22"/>
      <c r="FDQ249" s="22"/>
      <c r="FDR249" s="22"/>
      <c r="FDS249" s="22"/>
      <c r="FDT249" s="22"/>
      <c r="FDU249" s="22"/>
      <c r="FDV249" s="22"/>
      <c r="FDW249" s="22"/>
      <c r="FDX249" s="22"/>
      <c r="FDY249" s="22"/>
      <c r="FDZ249" s="22"/>
      <c r="FEA249" s="22"/>
      <c r="FEB249" s="22"/>
      <c r="FEC249" s="22"/>
      <c r="FED249" s="22"/>
      <c r="FEE249" s="22"/>
      <c r="FEF249" s="22"/>
      <c r="FEG249" s="22"/>
      <c r="FEH249" s="22"/>
      <c r="FEI249" s="22"/>
      <c r="FEJ249" s="22"/>
      <c r="FEK249" s="22"/>
      <c r="FEL249" s="22"/>
      <c r="FEM249" s="22"/>
      <c r="FEN249" s="22"/>
      <c r="FEO249" s="22"/>
      <c r="FEP249" s="22"/>
      <c r="FEQ249" s="22"/>
      <c r="FER249" s="22"/>
      <c r="FES249" s="22"/>
      <c r="FET249" s="22"/>
      <c r="FEU249" s="22"/>
      <c r="FEV249" s="22"/>
      <c r="FEW249" s="22"/>
      <c r="FEX249" s="22"/>
      <c r="FEY249" s="22"/>
      <c r="FEZ249" s="22"/>
      <c r="FFA249" s="22"/>
      <c r="FFB249" s="22"/>
      <c r="FFC249" s="22"/>
      <c r="FFD249" s="22"/>
      <c r="FFE249" s="22"/>
      <c r="FFF249" s="22"/>
      <c r="FFG249" s="22"/>
      <c r="FFH249" s="22"/>
      <c r="FFI249" s="22"/>
      <c r="FFJ249" s="22"/>
      <c r="FFK249" s="22"/>
      <c r="FFL249" s="22"/>
      <c r="FFM249" s="22"/>
      <c r="FFN249" s="22"/>
      <c r="FFO249" s="22"/>
      <c r="FFP249" s="22"/>
      <c r="FFQ249" s="22"/>
      <c r="FFR249" s="22"/>
      <c r="FFS249" s="22"/>
      <c r="FFT249" s="22"/>
      <c r="FFU249" s="22"/>
      <c r="FFV249" s="22"/>
      <c r="FFW249" s="22"/>
      <c r="FFX249" s="22"/>
      <c r="FFY249" s="22"/>
      <c r="FFZ249" s="22"/>
      <c r="FGA249" s="22"/>
      <c r="FGB249" s="22"/>
      <c r="FGC249" s="22"/>
      <c r="FGD249" s="22"/>
      <c r="FGE249" s="22"/>
      <c r="FGF249" s="22"/>
      <c r="FGG249" s="22"/>
      <c r="FGH249" s="22"/>
      <c r="FGI249" s="22"/>
      <c r="FGJ249" s="22"/>
      <c r="FGK249" s="22"/>
      <c r="FGL249" s="22"/>
      <c r="FGM249" s="22"/>
      <c r="FGN249" s="22"/>
      <c r="FGO249" s="22"/>
      <c r="FGP249" s="22"/>
      <c r="FGQ249" s="22"/>
      <c r="FGR249" s="22"/>
      <c r="FGS249" s="22"/>
      <c r="FGT249" s="22"/>
      <c r="FGU249" s="22"/>
      <c r="FGV249" s="22"/>
      <c r="FGW249" s="22"/>
      <c r="FGX249" s="22"/>
      <c r="FGY249" s="22"/>
      <c r="FGZ249" s="22"/>
      <c r="FHA249" s="22"/>
      <c r="FHB249" s="22"/>
      <c r="FHC249" s="22"/>
      <c r="FHD249" s="22"/>
      <c r="FHE249" s="22"/>
      <c r="FHF249" s="22"/>
      <c r="FHG249" s="22"/>
      <c r="FHH249" s="22"/>
      <c r="FHI249" s="22"/>
      <c r="FHJ249" s="22"/>
      <c r="FHK249" s="22"/>
      <c r="FHL249" s="22"/>
      <c r="FHM249" s="22"/>
      <c r="FHN249" s="22"/>
      <c r="FHO249" s="22"/>
      <c r="FHP249" s="22"/>
      <c r="FHQ249" s="22"/>
      <c r="FHR249" s="22"/>
      <c r="FHS249" s="22"/>
      <c r="FHT249" s="22"/>
      <c r="FHU249" s="22"/>
      <c r="FHV249" s="22"/>
      <c r="FHW249" s="22"/>
      <c r="FHX249" s="22"/>
      <c r="FHY249" s="22"/>
      <c r="FHZ249" s="22"/>
      <c r="FIA249" s="22"/>
      <c r="FIB249" s="22"/>
      <c r="FIC249" s="22"/>
      <c r="FID249" s="22"/>
      <c r="FIE249" s="22"/>
      <c r="FIF249" s="22"/>
      <c r="FIG249" s="22"/>
      <c r="FIH249" s="22"/>
      <c r="FII249" s="22"/>
      <c r="FIJ249" s="22"/>
      <c r="FIK249" s="22"/>
      <c r="FIL249" s="22"/>
      <c r="FIM249" s="22"/>
      <c r="FIN249" s="22"/>
      <c r="FIO249" s="22"/>
      <c r="FIP249" s="22"/>
      <c r="FIQ249" s="22"/>
      <c r="FIR249" s="22"/>
      <c r="FIS249" s="22"/>
      <c r="FIT249" s="22"/>
      <c r="FIU249" s="22"/>
      <c r="FIV249" s="22"/>
      <c r="FIW249" s="22"/>
      <c r="FIX249" s="22"/>
      <c r="FIY249" s="22"/>
      <c r="FIZ249" s="22"/>
      <c r="FJA249" s="22"/>
      <c r="FJB249" s="22"/>
      <c r="FJC249" s="22"/>
      <c r="FJD249" s="22"/>
      <c r="FJE249" s="22"/>
      <c r="FJF249" s="22"/>
      <c r="FJG249" s="22"/>
      <c r="FJH249" s="22"/>
      <c r="FJI249" s="22"/>
      <c r="FJJ249" s="22"/>
      <c r="FJK249" s="22"/>
      <c r="FJL249" s="22"/>
      <c r="FJM249" s="22"/>
      <c r="FJN249" s="22"/>
      <c r="FJO249" s="22"/>
      <c r="FJP249" s="22"/>
      <c r="FJQ249" s="22"/>
      <c r="FJR249" s="22"/>
      <c r="FJS249" s="22"/>
      <c r="FJT249" s="22"/>
      <c r="FJU249" s="22"/>
      <c r="FJV249" s="22"/>
      <c r="FJW249" s="22"/>
      <c r="FJX249" s="22"/>
      <c r="FJY249" s="22"/>
      <c r="FJZ249" s="22"/>
      <c r="FKA249" s="22"/>
      <c r="FKB249" s="22"/>
      <c r="FKC249" s="22"/>
      <c r="FKD249" s="22"/>
      <c r="FKE249" s="22"/>
      <c r="FKF249" s="22"/>
      <c r="FKG249" s="22"/>
      <c r="FKH249" s="22"/>
      <c r="FKI249" s="22"/>
      <c r="FKJ249" s="22"/>
      <c r="FKK249" s="22"/>
      <c r="FKL249" s="22"/>
      <c r="FKM249" s="22"/>
      <c r="FKN249" s="22"/>
      <c r="FKO249" s="22"/>
      <c r="FKP249" s="22"/>
      <c r="FKQ249" s="22"/>
      <c r="FKR249" s="22"/>
      <c r="FKS249" s="22"/>
      <c r="FKT249" s="22"/>
      <c r="FKU249" s="22"/>
      <c r="FKV249" s="22"/>
      <c r="FKW249" s="22"/>
      <c r="FKX249" s="22"/>
      <c r="FKY249" s="22"/>
      <c r="FKZ249" s="22"/>
      <c r="FLA249" s="22"/>
      <c r="FLB249" s="22"/>
      <c r="FLC249" s="22"/>
      <c r="FLD249" s="22"/>
      <c r="FLE249" s="22"/>
      <c r="FLF249" s="22"/>
      <c r="FLG249" s="22"/>
      <c r="FLH249" s="22"/>
      <c r="FLI249" s="22"/>
      <c r="FLJ249" s="22"/>
      <c r="FLK249" s="22"/>
      <c r="FLL249" s="22"/>
      <c r="FLM249" s="22"/>
      <c r="FLN249" s="22"/>
      <c r="FLO249" s="22"/>
      <c r="FLP249" s="22"/>
      <c r="FLQ249" s="22"/>
      <c r="FLR249" s="22"/>
      <c r="FLS249" s="22"/>
      <c r="FLT249" s="22"/>
      <c r="FLU249" s="22"/>
      <c r="FLV249" s="22"/>
      <c r="FLW249" s="22"/>
      <c r="FLX249" s="22"/>
      <c r="FLY249" s="22"/>
      <c r="FLZ249" s="22"/>
      <c r="FMA249" s="22"/>
      <c r="FMB249" s="22"/>
      <c r="FMC249" s="22"/>
      <c r="FMD249" s="22"/>
      <c r="FME249" s="22"/>
      <c r="FMF249" s="22"/>
      <c r="FMG249" s="22"/>
      <c r="FMH249" s="22"/>
      <c r="FMI249" s="22"/>
      <c r="FMJ249" s="22"/>
      <c r="FMK249" s="22"/>
      <c r="FML249" s="22"/>
      <c r="FMM249" s="22"/>
      <c r="FMN249" s="22"/>
      <c r="FMO249" s="22"/>
      <c r="FMP249" s="22"/>
      <c r="FMQ249" s="22"/>
      <c r="FMR249" s="22"/>
      <c r="FMS249" s="22"/>
      <c r="FMT249" s="22"/>
      <c r="FMU249" s="22"/>
      <c r="FMV249" s="22"/>
      <c r="FMW249" s="22"/>
      <c r="FMX249" s="22"/>
      <c r="FMY249" s="22"/>
      <c r="FMZ249" s="22"/>
      <c r="FNA249" s="22"/>
      <c r="FNB249" s="22"/>
      <c r="FNC249" s="22"/>
      <c r="FND249" s="22"/>
      <c r="FNE249" s="22"/>
      <c r="FNF249" s="22"/>
      <c r="FNG249" s="22"/>
      <c r="FNH249" s="22"/>
      <c r="FNI249" s="22"/>
      <c r="FNJ249" s="22"/>
      <c r="FNK249" s="22"/>
      <c r="FNL249" s="22"/>
      <c r="FNM249" s="22"/>
      <c r="FNN249" s="22"/>
      <c r="FNO249" s="22"/>
      <c r="FNP249" s="22"/>
      <c r="FNQ249" s="22"/>
      <c r="FNR249" s="22"/>
      <c r="FNS249" s="22"/>
      <c r="FNT249" s="22"/>
      <c r="FNU249" s="22"/>
      <c r="FNV249" s="22"/>
      <c r="FNW249" s="22"/>
      <c r="FNX249" s="22"/>
      <c r="FNY249" s="22"/>
      <c r="FNZ249" s="22"/>
      <c r="FOA249" s="22"/>
      <c r="FOB249" s="22"/>
      <c r="FOC249" s="22"/>
      <c r="FOD249" s="22"/>
      <c r="FOE249" s="22"/>
      <c r="FOF249" s="22"/>
      <c r="FOG249" s="22"/>
      <c r="FOH249" s="22"/>
      <c r="FOI249" s="22"/>
      <c r="FOJ249" s="22"/>
      <c r="FOK249" s="22"/>
      <c r="FOL249" s="22"/>
      <c r="FOM249" s="22"/>
      <c r="FON249" s="22"/>
      <c r="FOO249" s="22"/>
      <c r="FOP249" s="22"/>
      <c r="FOQ249" s="22"/>
      <c r="FOR249" s="22"/>
      <c r="FOS249" s="22"/>
      <c r="FOT249" s="22"/>
      <c r="FOU249" s="22"/>
      <c r="FOV249" s="22"/>
      <c r="FOW249" s="22"/>
      <c r="FOX249" s="22"/>
      <c r="FOY249" s="22"/>
      <c r="FOZ249" s="22"/>
      <c r="FPA249" s="22"/>
      <c r="FPB249" s="22"/>
      <c r="FPC249" s="22"/>
      <c r="FPD249" s="22"/>
      <c r="FPE249" s="22"/>
      <c r="FPF249" s="22"/>
      <c r="FPG249" s="22"/>
      <c r="FPH249" s="22"/>
      <c r="FPI249" s="22"/>
      <c r="FPJ249" s="22"/>
      <c r="FPK249" s="22"/>
      <c r="FPL249" s="22"/>
      <c r="FPM249" s="22"/>
      <c r="FPN249" s="22"/>
      <c r="FPO249" s="22"/>
      <c r="FPP249" s="22"/>
      <c r="FPQ249" s="22"/>
      <c r="FPR249" s="22"/>
      <c r="FPS249" s="22"/>
      <c r="FPT249" s="22"/>
      <c r="FPU249" s="22"/>
      <c r="FPV249" s="22"/>
      <c r="FPW249" s="22"/>
      <c r="FPX249" s="22"/>
      <c r="FPY249" s="22"/>
      <c r="FPZ249" s="22"/>
      <c r="FQA249" s="22"/>
      <c r="FQB249" s="22"/>
      <c r="FQC249" s="22"/>
      <c r="FQD249" s="22"/>
      <c r="FQE249" s="22"/>
      <c r="FQF249" s="22"/>
      <c r="FQG249" s="22"/>
      <c r="FQH249" s="22"/>
      <c r="FQI249" s="22"/>
      <c r="FQJ249" s="22"/>
      <c r="FQK249" s="22"/>
      <c r="FQL249" s="22"/>
      <c r="FQM249" s="22"/>
      <c r="FQN249" s="22"/>
      <c r="FQO249" s="22"/>
      <c r="FQP249" s="22"/>
      <c r="FQQ249" s="22"/>
      <c r="FQR249" s="22"/>
      <c r="FQS249" s="22"/>
      <c r="FQT249" s="22"/>
      <c r="FQU249" s="22"/>
      <c r="FQV249" s="22"/>
      <c r="FQW249" s="22"/>
      <c r="FQX249" s="22"/>
      <c r="FQY249" s="22"/>
      <c r="FQZ249" s="22"/>
      <c r="FRA249" s="22"/>
      <c r="FRB249" s="22"/>
      <c r="FRC249" s="22"/>
      <c r="FRD249" s="22"/>
      <c r="FRE249" s="22"/>
      <c r="FRF249" s="22"/>
      <c r="FRG249" s="22"/>
      <c r="FRH249" s="22"/>
      <c r="FRI249" s="22"/>
      <c r="FRJ249" s="22"/>
      <c r="FRK249" s="22"/>
      <c r="FRL249" s="22"/>
      <c r="FRM249" s="22"/>
      <c r="FRN249" s="22"/>
      <c r="FRO249" s="22"/>
      <c r="FRP249" s="22"/>
      <c r="FRQ249" s="22"/>
      <c r="FRR249" s="22"/>
      <c r="FRS249" s="22"/>
      <c r="FRT249" s="22"/>
      <c r="FRU249" s="22"/>
      <c r="FRV249" s="22"/>
      <c r="FRW249" s="22"/>
      <c r="FRX249" s="22"/>
      <c r="FRY249" s="22"/>
      <c r="FRZ249" s="22"/>
      <c r="FSA249" s="22"/>
      <c r="FSB249" s="22"/>
      <c r="FSC249" s="22"/>
      <c r="FSD249" s="22"/>
      <c r="FSE249" s="22"/>
      <c r="FSF249" s="22"/>
      <c r="FSG249" s="22"/>
      <c r="FSH249" s="22"/>
      <c r="FSI249" s="22"/>
      <c r="FSJ249" s="22"/>
      <c r="FSK249" s="22"/>
      <c r="FSL249" s="22"/>
      <c r="FSM249" s="22"/>
      <c r="FSN249" s="22"/>
      <c r="FSO249" s="22"/>
      <c r="FSP249" s="22"/>
      <c r="FSQ249" s="22"/>
      <c r="FSR249" s="22"/>
      <c r="FSS249" s="22"/>
      <c r="FST249" s="22"/>
      <c r="FSU249" s="22"/>
      <c r="FSV249" s="22"/>
      <c r="FSW249" s="22"/>
      <c r="FSX249" s="22"/>
      <c r="FSY249" s="22"/>
      <c r="FSZ249" s="22"/>
      <c r="FTA249" s="22"/>
      <c r="FTB249" s="22"/>
      <c r="FTC249" s="22"/>
      <c r="FTD249" s="22"/>
      <c r="FTE249" s="22"/>
      <c r="FTF249" s="22"/>
      <c r="FTG249" s="22"/>
      <c r="FTH249" s="22"/>
      <c r="FTI249" s="22"/>
      <c r="FTJ249" s="22"/>
      <c r="FTK249" s="22"/>
      <c r="FTL249" s="22"/>
      <c r="FTM249" s="22"/>
      <c r="FTN249" s="22"/>
      <c r="FTO249" s="22"/>
      <c r="FTP249" s="22"/>
      <c r="FTQ249" s="22"/>
      <c r="FTR249" s="22"/>
      <c r="FTS249" s="22"/>
      <c r="FTT249" s="22"/>
      <c r="FTU249" s="22"/>
      <c r="FTV249" s="22"/>
      <c r="FTW249" s="22"/>
      <c r="FTX249" s="22"/>
      <c r="FTY249" s="22"/>
      <c r="FTZ249" s="22"/>
      <c r="FUA249" s="22"/>
      <c r="FUB249" s="22"/>
      <c r="FUC249" s="22"/>
      <c r="FUD249" s="22"/>
      <c r="FUE249" s="22"/>
      <c r="FUF249" s="22"/>
      <c r="FUG249" s="22"/>
      <c r="FUH249" s="22"/>
      <c r="FUI249" s="22"/>
      <c r="FUJ249" s="22"/>
      <c r="FUK249" s="22"/>
      <c r="FUL249" s="22"/>
      <c r="FUM249" s="22"/>
      <c r="FUN249" s="22"/>
      <c r="FUO249" s="22"/>
      <c r="FUP249" s="22"/>
      <c r="FUQ249" s="22"/>
      <c r="FUR249" s="22"/>
      <c r="FUS249" s="22"/>
      <c r="FUT249" s="22"/>
      <c r="FUU249" s="22"/>
      <c r="FUV249" s="22"/>
      <c r="FUW249" s="22"/>
      <c r="FUX249" s="22"/>
      <c r="FUY249" s="22"/>
      <c r="FUZ249" s="22"/>
      <c r="FVA249" s="22"/>
      <c r="FVB249" s="22"/>
      <c r="FVC249" s="22"/>
      <c r="FVD249" s="22"/>
      <c r="FVE249" s="22"/>
      <c r="FVF249" s="22"/>
      <c r="FVG249" s="22"/>
      <c r="FVH249" s="22"/>
      <c r="FVI249" s="22"/>
      <c r="FVJ249" s="22"/>
      <c r="FVK249" s="22"/>
      <c r="FVL249" s="22"/>
      <c r="FVM249" s="22"/>
      <c r="FVN249" s="22"/>
      <c r="FVO249" s="22"/>
      <c r="FVP249" s="22"/>
      <c r="FVQ249" s="22"/>
      <c r="FVR249" s="22"/>
      <c r="FVS249" s="22"/>
      <c r="FVT249" s="22"/>
      <c r="FVU249" s="22"/>
      <c r="FVV249" s="22"/>
      <c r="FVW249" s="22"/>
      <c r="FVX249" s="22"/>
      <c r="FVY249" s="22"/>
      <c r="FVZ249" s="22"/>
      <c r="FWA249" s="22"/>
      <c r="FWB249" s="22"/>
      <c r="FWC249" s="22"/>
      <c r="FWD249" s="22"/>
      <c r="FWE249" s="22"/>
      <c r="FWF249" s="22"/>
      <c r="FWG249" s="22"/>
      <c r="FWH249" s="22"/>
      <c r="FWI249" s="22"/>
      <c r="FWJ249" s="22"/>
      <c r="FWK249" s="22"/>
      <c r="FWL249" s="22"/>
      <c r="FWM249" s="22"/>
      <c r="FWN249" s="22"/>
      <c r="FWO249" s="22"/>
      <c r="FWP249" s="22"/>
      <c r="FWQ249" s="22"/>
      <c r="FWR249" s="22"/>
      <c r="FWS249" s="22"/>
      <c r="FWT249" s="22"/>
      <c r="FWU249" s="22"/>
      <c r="FWV249" s="22"/>
      <c r="FWW249" s="22"/>
      <c r="FWX249" s="22"/>
      <c r="FWY249" s="22"/>
      <c r="FWZ249" s="22"/>
      <c r="FXA249" s="22"/>
      <c r="FXB249" s="22"/>
      <c r="FXC249" s="22"/>
      <c r="FXD249" s="22"/>
      <c r="FXE249" s="22"/>
      <c r="FXF249" s="22"/>
      <c r="FXG249" s="22"/>
      <c r="FXH249" s="22"/>
      <c r="FXI249" s="22"/>
      <c r="FXJ249" s="22"/>
      <c r="FXK249" s="22"/>
      <c r="FXL249" s="22"/>
      <c r="FXM249" s="22"/>
      <c r="FXN249" s="22"/>
      <c r="FXO249" s="22"/>
      <c r="FXP249" s="22"/>
      <c r="FXQ249" s="22"/>
      <c r="FXR249" s="22"/>
      <c r="FXS249" s="22"/>
      <c r="FXT249" s="22"/>
      <c r="FXU249" s="22"/>
      <c r="FXV249" s="22"/>
      <c r="FXW249" s="22"/>
      <c r="FXX249" s="22"/>
      <c r="FXY249" s="22"/>
      <c r="FXZ249" s="22"/>
      <c r="FYA249" s="22"/>
      <c r="FYB249" s="22"/>
      <c r="FYC249" s="22"/>
      <c r="FYD249" s="22"/>
      <c r="FYE249" s="22"/>
      <c r="FYF249" s="22"/>
      <c r="FYG249" s="22"/>
      <c r="FYH249" s="22"/>
      <c r="FYI249" s="22"/>
      <c r="FYJ249" s="22"/>
      <c r="FYK249" s="22"/>
      <c r="FYL249" s="22"/>
      <c r="FYM249" s="22"/>
      <c r="FYN249" s="22"/>
      <c r="FYO249" s="22"/>
      <c r="FYP249" s="22"/>
      <c r="FYQ249" s="22"/>
      <c r="FYR249" s="22"/>
      <c r="FYS249" s="22"/>
      <c r="FYT249" s="22"/>
      <c r="FYU249" s="22"/>
      <c r="FYV249" s="22"/>
      <c r="FYW249" s="22"/>
      <c r="FYX249" s="22"/>
      <c r="FYY249" s="22"/>
      <c r="FYZ249" s="22"/>
      <c r="FZA249" s="22"/>
      <c r="FZB249" s="22"/>
      <c r="FZC249" s="22"/>
      <c r="FZD249" s="22"/>
      <c r="FZE249" s="22"/>
      <c r="FZF249" s="22"/>
      <c r="FZG249" s="22"/>
      <c r="FZH249" s="22"/>
      <c r="FZI249" s="22"/>
      <c r="FZJ249" s="22"/>
      <c r="FZK249" s="22"/>
      <c r="FZL249" s="22"/>
      <c r="FZM249" s="22"/>
      <c r="FZN249" s="22"/>
      <c r="FZO249" s="22"/>
      <c r="FZP249" s="22"/>
      <c r="FZQ249" s="22"/>
      <c r="FZR249" s="22"/>
      <c r="FZS249" s="22"/>
      <c r="FZT249" s="22"/>
      <c r="FZU249" s="22"/>
      <c r="FZV249" s="22"/>
      <c r="FZW249" s="22"/>
      <c r="FZX249" s="22"/>
      <c r="FZY249" s="22"/>
      <c r="FZZ249" s="22"/>
      <c r="GAA249" s="22"/>
      <c r="GAB249" s="22"/>
      <c r="GAC249" s="22"/>
      <c r="GAD249" s="22"/>
      <c r="GAE249" s="22"/>
      <c r="GAF249" s="22"/>
      <c r="GAG249" s="22"/>
      <c r="GAH249" s="22"/>
      <c r="GAI249" s="22"/>
      <c r="GAJ249" s="22"/>
      <c r="GAK249" s="22"/>
      <c r="GAL249" s="22"/>
      <c r="GAM249" s="22"/>
      <c r="GAN249" s="22"/>
      <c r="GAO249" s="22"/>
      <c r="GAP249" s="22"/>
      <c r="GAQ249" s="22"/>
      <c r="GAR249" s="22"/>
      <c r="GAS249" s="22"/>
      <c r="GAT249" s="22"/>
      <c r="GAU249" s="22"/>
      <c r="GAV249" s="22"/>
      <c r="GAW249" s="22"/>
      <c r="GAX249" s="22"/>
      <c r="GAY249" s="22"/>
      <c r="GAZ249" s="22"/>
      <c r="GBA249" s="22"/>
      <c r="GBB249" s="22"/>
      <c r="GBC249" s="22"/>
      <c r="GBD249" s="22"/>
      <c r="GBE249" s="22"/>
      <c r="GBF249" s="22"/>
      <c r="GBG249" s="22"/>
      <c r="GBH249" s="22"/>
      <c r="GBI249" s="22"/>
      <c r="GBJ249" s="22"/>
      <c r="GBK249" s="22"/>
      <c r="GBL249" s="22"/>
      <c r="GBM249" s="22"/>
      <c r="GBN249" s="22"/>
      <c r="GBO249" s="22"/>
      <c r="GBP249" s="22"/>
      <c r="GBQ249" s="22"/>
      <c r="GBR249" s="22"/>
      <c r="GBS249" s="22"/>
      <c r="GBT249" s="22"/>
      <c r="GBU249" s="22"/>
      <c r="GBV249" s="22"/>
      <c r="GBW249" s="22"/>
      <c r="GBX249" s="22"/>
      <c r="GBY249" s="22"/>
      <c r="GBZ249" s="22"/>
      <c r="GCA249" s="22"/>
      <c r="GCB249" s="22"/>
      <c r="GCC249" s="22"/>
      <c r="GCD249" s="22"/>
      <c r="GCE249" s="22"/>
      <c r="GCF249" s="22"/>
      <c r="GCG249" s="22"/>
      <c r="GCH249" s="22"/>
      <c r="GCI249" s="22"/>
      <c r="GCJ249" s="22"/>
      <c r="GCK249" s="22"/>
      <c r="GCL249" s="22"/>
      <c r="GCM249" s="22"/>
      <c r="GCN249" s="22"/>
      <c r="GCO249" s="22"/>
      <c r="GCP249" s="22"/>
      <c r="GCQ249" s="22"/>
      <c r="GCR249" s="22"/>
      <c r="GCS249" s="22"/>
      <c r="GCT249" s="22"/>
      <c r="GCU249" s="22"/>
      <c r="GCV249" s="22"/>
      <c r="GCW249" s="22"/>
      <c r="GCX249" s="22"/>
      <c r="GCY249" s="22"/>
      <c r="GCZ249" s="22"/>
      <c r="GDA249" s="22"/>
      <c r="GDB249" s="22"/>
      <c r="GDC249" s="22"/>
      <c r="GDD249" s="22"/>
      <c r="GDE249" s="22"/>
      <c r="GDF249" s="22"/>
      <c r="GDG249" s="22"/>
      <c r="GDH249" s="22"/>
      <c r="GDI249" s="22"/>
      <c r="GDJ249" s="22"/>
      <c r="GDK249" s="22"/>
      <c r="GDL249" s="22"/>
      <c r="GDM249" s="22"/>
      <c r="GDN249" s="22"/>
      <c r="GDO249" s="22"/>
      <c r="GDP249" s="22"/>
      <c r="GDQ249" s="22"/>
      <c r="GDR249" s="22"/>
      <c r="GDS249" s="22"/>
      <c r="GDT249" s="22"/>
      <c r="GDU249" s="22"/>
      <c r="GDV249" s="22"/>
      <c r="GDW249" s="22"/>
      <c r="GDX249" s="22"/>
      <c r="GDY249" s="22"/>
      <c r="GDZ249" s="22"/>
      <c r="GEA249" s="22"/>
      <c r="GEB249" s="22"/>
      <c r="GEC249" s="22"/>
      <c r="GED249" s="22"/>
      <c r="GEE249" s="22"/>
      <c r="GEF249" s="22"/>
      <c r="GEG249" s="22"/>
      <c r="GEH249" s="22"/>
      <c r="GEI249" s="22"/>
      <c r="GEJ249" s="22"/>
      <c r="GEK249" s="22"/>
      <c r="GEL249" s="22"/>
      <c r="GEM249" s="22"/>
      <c r="GEN249" s="22"/>
      <c r="GEO249" s="22"/>
      <c r="GEP249" s="22"/>
      <c r="GEQ249" s="22"/>
      <c r="GER249" s="22"/>
      <c r="GES249" s="22"/>
      <c r="GET249" s="22"/>
      <c r="GEU249" s="22"/>
      <c r="GEV249" s="22"/>
      <c r="GEW249" s="22"/>
      <c r="GEX249" s="22"/>
      <c r="GEY249" s="22"/>
      <c r="GEZ249" s="22"/>
      <c r="GFA249" s="22"/>
      <c r="GFB249" s="22"/>
      <c r="GFC249" s="22"/>
      <c r="GFD249" s="22"/>
      <c r="GFE249" s="22"/>
      <c r="GFF249" s="22"/>
      <c r="GFG249" s="22"/>
      <c r="GFH249" s="22"/>
      <c r="GFI249" s="22"/>
      <c r="GFJ249" s="22"/>
      <c r="GFK249" s="22"/>
      <c r="GFL249" s="22"/>
      <c r="GFM249" s="22"/>
      <c r="GFN249" s="22"/>
      <c r="GFO249" s="22"/>
      <c r="GFP249" s="22"/>
      <c r="GFQ249" s="22"/>
      <c r="GFR249" s="22"/>
      <c r="GFS249" s="22"/>
      <c r="GFT249" s="22"/>
      <c r="GFU249" s="22"/>
      <c r="GFV249" s="22"/>
      <c r="GFW249" s="22"/>
      <c r="GFX249" s="22"/>
      <c r="GFY249" s="22"/>
      <c r="GFZ249" s="22"/>
      <c r="GGA249" s="22"/>
      <c r="GGB249" s="22"/>
      <c r="GGC249" s="22"/>
      <c r="GGD249" s="22"/>
      <c r="GGE249" s="22"/>
      <c r="GGF249" s="22"/>
      <c r="GGG249" s="22"/>
      <c r="GGH249" s="22"/>
      <c r="GGI249" s="22"/>
      <c r="GGJ249" s="22"/>
      <c r="GGK249" s="22"/>
      <c r="GGL249" s="22"/>
      <c r="GGM249" s="22"/>
      <c r="GGN249" s="22"/>
      <c r="GGO249" s="22"/>
      <c r="GGP249" s="22"/>
      <c r="GGQ249" s="22"/>
      <c r="GGR249" s="22"/>
      <c r="GGS249" s="22"/>
      <c r="GGT249" s="22"/>
      <c r="GGU249" s="22"/>
      <c r="GGV249" s="22"/>
      <c r="GGW249" s="22"/>
      <c r="GGX249" s="22"/>
      <c r="GGY249" s="22"/>
      <c r="GGZ249" s="22"/>
      <c r="GHA249" s="22"/>
      <c r="GHB249" s="22"/>
      <c r="GHC249" s="22"/>
      <c r="GHD249" s="22"/>
      <c r="GHE249" s="22"/>
      <c r="GHF249" s="22"/>
      <c r="GHG249" s="22"/>
      <c r="GHH249" s="22"/>
      <c r="GHI249" s="22"/>
      <c r="GHJ249" s="22"/>
      <c r="GHK249" s="22"/>
      <c r="GHL249" s="22"/>
      <c r="GHM249" s="22"/>
      <c r="GHN249" s="22"/>
      <c r="GHO249" s="22"/>
      <c r="GHP249" s="22"/>
      <c r="GHQ249" s="22"/>
      <c r="GHR249" s="22"/>
      <c r="GHS249" s="22"/>
      <c r="GHT249" s="22"/>
      <c r="GHU249" s="22"/>
      <c r="GHV249" s="22"/>
      <c r="GHW249" s="22"/>
      <c r="GHX249" s="22"/>
      <c r="GHY249" s="22"/>
      <c r="GHZ249" s="22"/>
      <c r="GIA249" s="22"/>
      <c r="GIB249" s="22"/>
      <c r="GIC249" s="22"/>
      <c r="GID249" s="22"/>
      <c r="GIE249" s="22"/>
      <c r="GIF249" s="22"/>
      <c r="GIG249" s="22"/>
      <c r="GIH249" s="22"/>
      <c r="GII249" s="22"/>
      <c r="GIJ249" s="22"/>
      <c r="GIK249" s="22"/>
      <c r="GIL249" s="22"/>
      <c r="GIM249" s="22"/>
      <c r="GIN249" s="22"/>
      <c r="GIO249" s="22"/>
      <c r="GIP249" s="22"/>
      <c r="GIQ249" s="22"/>
      <c r="GIR249" s="22"/>
      <c r="GIS249" s="22"/>
      <c r="GIT249" s="22"/>
      <c r="GIU249" s="22"/>
      <c r="GIV249" s="22"/>
      <c r="GIW249" s="22"/>
      <c r="GIX249" s="22"/>
      <c r="GIY249" s="22"/>
      <c r="GIZ249" s="22"/>
      <c r="GJA249" s="22"/>
      <c r="GJB249" s="22"/>
      <c r="GJC249" s="22"/>
      <c r="GJD249" s="22"/>
      <c r="GJE249" s="22"/>
      <c r="GJF249" s="22"/>
      <c r="GJG249" s="22"/>
      <c r="GJH249" s="22"/>
      <c r="GJI249" s="22"/>
      <c r="GJJ249" s="22"/>
      <c r="GJK249" s="22"/>
      <c r="GJL249" s="22"/>
      <c r="GJM249" s="22"/>
      <c r="GJN249" s="22"/>
      <c r="GJO249" s="22"/>
      <c r="GJP249" s="22"/>
      <c r="GJQ249" s="22"/>
      <c r="GJR249" s="22"/>
      <c r="GJS249" s="22"/>
      <c r="GJT249" s="22"/>
      <c r="GJU249" s="22"/>
      <c r="GJV249" s="22"/>
      <c r="GJW249" s="22"/>
      <c r="GJX249" s="22"/>
      <c r="GJY249" s="22"/>
      <c r="GJZ249" s="22"/>
      <c r="GKA249" s="22"/>
      <c r="GKB249" s="22"/>
      <c r="GKC249" s="22"/>
      <c r="GKD249" s="22"/>
      <c r="GKE249" s="22"/>
      <c r="GKF249" s="22"/>
      <c r="GKG249" s="22"/>
      <c r="GKH249" s="22"/>
      <c r="GKI249" s="22"/>
      <c r="GKJ249" s="22"/>
      <c r="GKK249" s="22"/>
      <c r="GKL249" s="22"/>
      <c r="GKM249" s="22"/>
      <c r="GKN249" s="22"/>
      <c r="GKO249" s="22"/>
      <c r="GKP249" s="22"/>
      <c r="GKQ249" s="22"/>
      <c r="GKR249" s="22"/>
      <c r="GKS249" s="22"/>
      <c r="GKT249" s="22"/>
      <c r="GKU249" s="22"/>
      <c r="GKV249" s="22"/>
      <c r="GKW249" s="22"/>
      <c r="GKX249" s="22"/>
      <c r="GKY249" s="22"/>
      <c r="GKZ249" s="22"/>
      <c r="GLA249" s="22"/>
      <c r="GLB249" s="22"/>
      <c r="GLC249" s="22"/>
      <c r="GLD249" s="22"/>
      <c r="GLE249" s="22"/>
      <c r="GLF249" s="22"/>
      <c r="GLG249" s="22"/>
      <c r="GLH249" s="22"/>
      <c r="GLI249" s="22"/>
      <c r="GLJ249" s="22"/>
      <c r="GLK249" s="22"/>
      <c r="GLL249" s="22"/>
      <c r="GLM249" s="22"/>
      <c r="GLN249" s="22"/>
      <c r="GLO249" s="22"/>
      <c r="GLP249" s="22"/>
      <c r="GLQ249" s="22"/>
      <c r="GLR249" s="22"/>
      <c r="GLS249" s="22"/>
      <c r="GLT249" s="22"/>
      <c r="GLU249" s="22"/>
      <c r="GLV249" s="22"/>
      <c r="GLW249" s="22"/>
      <c r="GLX249" s="22"/>
      <c r="GLY249" s="22"/>
      <c r="GLZ249" s="22"/>
      <c r="GMA249" s="22"/>
      <c r="GMB249" s="22"/>
      <c r="GMC249" s="22"/>
      <c r="GMD249" s="22"/>
      <c r="GME249" s="22"/>
      <c r="GMF249" s="22"/>
      <c r="GMG249" s="22"/>
      <c r="GMH249" s="22"/>
      <c r="GMI249" s="22"/>
      <c r="GMJ249" s="22"/>
      <c r="GMK249" s="22"/>
      <c r="GML249" s="22"/>
      <c r="GMM249" s="22"/>
      <c r="GMN249" s="22"/>
      <c r="GMO249" s="22"/>
      <c r="GMP249" s="22"/>
      <c r="GMQ249" s="22"/>
      <c r="GMR249" s="22"/>
      <c r="GMS249" s="22"/>
      <c r="GMT249" s="22"/>
      <c r="GMU249" s="22"/>
      <c r="GMV249" s="22"/>
      <c r="GMW249" s="22"/>
      <c r="GMX249" s="22"/>
      <c r="GMY249" s="22"/>
      <c r="GMZ249" s="22"/>
      <c r="GNA249" s="22"/>
      <c r="GNB249" s="22"/>
      <c r="GNC249" s="22"/>
      <c r="GND249" s="22"/>
      <c r="GNE249" s="22"/>
      <c r="GNF249" s="22"/>
      <c r="GNG249" s="22"/>
      <c r="GNH249" s="22"/>
      <c r="GNI249" s="22"/>
      <c r="GNJ249" s="22"/>
      <c r="GNK249" s="22"/>
      <c r="GNL249" s="22"/>
      <c r="GNM249" s="22"/>
      <c r="GNN249" s="22"/>
      <c r="GNO249" s="22"/>
      <c r="GNP249" s="22"/>
      <c r="GNQ249" s="22"/>
      <c r="GNR249" s="22"/>
      <c r="GNS249" s="22"/>
      <c r="GNT249" s="22"/>
      <c r="GNU249" s="22"/>
      <c r="GNV249" s="22"/>
      <c r="GNW249" s="22"/>
      <c r="GNX249" s="22"/>
      <c r="GNY249" s="22"/>
      <c r="GNZ249" s="22"/>
      <c r="GOA249" s="22"/>
      <c r="GOB249" s="22"/>
      <c r="GOC249" s="22"/>
      <c r="GOD249" s="22"/>
      <c r="GOE249" s="22"/>
      <c r="GOF249" s="22"/>
      <c r="GOG249" s="22"/>
      <c r="GOH249" s="22"/>
      <c r="GOI249" s="22"/>
      <c r="GOJ249" s="22"/>
      <c r="GOK249" s="22"/>
      <c r="GOL249" s="22"/>
      <c r="GOM249" s="22"/>
      <c r="GON249" s="22"/>
      <c r="GOO249" s="22"/>
      <c r="GOP249" s="22"/>
      <c r="GOQ249" s="22"/>
      <c r="GOR249" s="22"/>
      <c r="GOS249" s="22"/>
      <c r="GOT249" s="22"/>
      <c r="GOU249" s="22"/>
      <c r="GOV249" s="22"/>
      <c r="GOW249" s="22"/>
      <c r="GOX249" s="22"/>
      <c r="GOY249" s="22"/>
      <c r="GOZ249" s="22"/>
      <c r="GPA249" s="22"/>
      <c r="GPB249" s="22"/>
      <c r="GPC249" s="22"/>
      <c r="GPD249" s="22"/>
      <c r="GPE249" s="22"/>
      <c r="GPF249" s="22"/>
      <c r="GPG249" s="22"/>
      <c r="GPH249" s="22"/>
      <c r="GPI249" s="22"/>
      <c r="GPJ249" s="22"/>
      <c r="GPK249" s="22"/>
      <c r="GPL249" s="22"/>
      <c r="GPM249" s="22"/>
      <c r="GPN249" s="22"/>
      <c r="GPO249" s="22"/>
      <c r="GPP249" s="22"/>
      <c r="GPQ249" s="22"/>
      <c r="GPR249" s="22"/>
      <c r="GPS249" s="22"/>
      <c r="GPT249" s="22"/>
      <c r="GPU249" s="22"/>
      <c r="GPV249" s="22"/>
      <c r="GPW249" s="22"/>
      <c r="GPX249" s="22"/>
      <c r="GPY249" s="22"/>
      <c r="GPZ249" s="22"/>
      <c r="GQA249" s="22"/>
      <c r="GQB249" s="22"/>
      <c r="GQC249" s="22"/>
      <c r="GQD249" s="22"/>
      <c r="GQE249" s="22"/>
      <c r="GQF249" s="22"/>
      <c r="GQG249" s="22"/>
      <c r="GQH249" s="22"/>
      <c r="GQI249" s="22"/>
      <c r="GQJ249" s="22"/>
      <c r="GQK249" s="22"/>
      <c r="GQL249" s="22"/>
      <c r="GQM249" s="22"/>
      <c r="GQN249" s="22"/>
      <c r="GQO249" s="22"/>
      <c r="GQP249" s="22"/>
      <c r="GQQ249" s="22"/>
      <c r="GQR249" s="22"/>
      <c r="GQS249" s="22"/>
      <c r="GQT249" s="22"/>
      <c r="GQU249" s="22"/>
      <c r="GQV249" s="22"/>
      <c r="GQW249" s="22"/>
      <c r="GQX249" s="22"/>
      <c r="GQY249" s="22"/>
      <c r="GQZ249" s="22"/>
      <c r="GRA249" s="22"/>
      <c r="GRB249" s="22"/>
      <c r="GRC249" s="22"/>
      <c r="GRD249" s="22"/>
      <c r="GRE249" s="22"/>
      <c r="GRF249" s="22"/>
      <c r="GRG249" s="22"/>
      <c r="GRH249" s="22"/>
      <c r="GRI249" s="22"/>
      <c r="GRJ249" s="22"/>
      <c r="GRK249" s="22"/>
      <c r="GRL249" s="22"/>
      <c r="GRM249" s="22"/>
      <c r="GRN249" s="22"/>
      <c r="GRO249" s="22"/>
      <c r="GRP249" s="22"/>
      <c r="GRQ249" s="22"/>
      <c r="GRR249" s="22"/>
      <c r="GRS249" s="22"/>
      <c r="GRT249" s="22"/>
      <c r="GRU249" s="22"/>
      <c r="GRV249" s="22"/>
      <c r="GRW249" s="22"/>
      <c r="GRX249" s="22"/>
      <c r="GRY249" s="22"/>
      <c r="GRZ249" s="22"/>
      <c r="GSA249" s="22"/>
      <c r="GSB249" s="22"/>
      <c r="GSC249" s="22"/>
      <c r="GSD249" s="22"/>
      <c r="GSE249" s="22"/>
      <c r="GSF249" s="22"/>
      <c r="GSG249" s="22"/>
      <c r="GSH249" s="22"/>
      <c r="GSI249" s="22"/>
      <c r="GSJ249" s="22"/>
      <c r="GSK249" s="22"/>
      <c r="GSL249" s="22"/>
      <c r="GSM249" s="22"/>
      <c r="GSN249" s="22"/>
      <c r="GSO249" s="22"/>
      <c r="GSP249" s="22"/>
      <c r="GSQ249" s="22"/>
      <c r="GSR249" s="22"/>
      <c r="GSS249" s="22"/>
      <c r="GST249" s="22"/>
      <c r="GSU249" s="22"/>
      <c r="GSV249" s="22"/>
      <c r="GSW249" s="22"/>
      <c r="GSX249" s="22"/>
      <c r="GSY249" s="22"/>
      <c r="GSZ249" s="22"/>
      <c r="GTA249" s="22"/>
      <c r="GTB249" s="22"/>
      <c r="GTC249" s="22"/>
      <c r="GTD249" s="22"/>
      <c r="GTE249" s="22"/>
      <c r="GTF249" s="22"/>
      <c r="GTG249" s="22"/>
      <c r="GTH249" s="22"/>
      <c r="GTI249" s="22"/>
      <c r="GTJ249" s="22"/>
      <c r="GTK249" s="22"/>
      <c r="GTL249" s="22"/>
      <c r="GTM249" s="22"/>
      <c r="GTN249" s="22"/>
      <c r="GTO249" s="22"/>
      <c r="GTP249" s="22"/>
      <c r="GTQ249" s="22"/>
      <c r="GTR249" s="22"/>
      <c r="GTS249" s="22"/>
      <c r="GTT249" s="22"/>
      <c r="GTU249" s="22"/>
      <c r="GTV249" s="22"/>
      <c r="GTW249" s="22"/>
      <c r="GTX249" s="22"/>
      <c r="GTY249" s="22"/>
      <c r="GTZ249" s="22"/>
      <c r="GUA249" s="22"/>
      <c r="GUB249" s="22"/>
      <c r="GUC249" s="22"/>
      <c r="GUD249" s="22"/>
      <c r="GUE249" s="22"/>
      <c r="GUF249" s="22"/>
      <c r="GUG249" s="22"/>
      <c r="GUH249" s="22"/>
      <c r="GUI249" s="22"/>
      <c r="GUJ249" s="22"/>
      <c r="GUK249" s="22"/>
      <c r="GUL249" s="22"/>
      <c r="GUM249" s="22"/>
      <c r="GUN249" s="22"/>
      <c r="GUO249" s="22"/>
      <c r="GUP249" s="22"/>
      <c r="GUQ249" s="22"/>
      <c r="GUR249" s="22"/>
      <c r="GUS249" s="22"/>
      <c r="GUT249" s="22"/>
      <c r="GUU249" s="22"/>
      <c r="GUV249" s="22"/>
      <c r="GUW249" s="22"/>
      <c r="GUX249" s="22"/>
      <c r="GUY249" s="22"/>
      <c r="GUZ249" s="22"/>
      <c r="GVA249" s="22"/>
      <c r="GVB249" s="22"/>
      <c r="GVC249" s="22"/>
      <c r="GVD249" s="22"/>
      <c r="GVE249" s="22"/>
      <c r="GVF249" s="22"/>
      <c r="GVG249" s="22"/>
      <c r="GVH249" s="22"/>
      <c r="GVI249" s="22"/>
      <c r="GVJ249" s="22"/>
      <c r="GVK249" s="22"/>
      <c r="GVL249" s="22"/>
      <c r="GVM249" s="22"/>
      <c r="GVN249" s="22"/>
      <c r="GVO249" s="22"/>
      <c r="GVP249" s="22"/>
      <c r="GVQ249" s="22"/>
      <c r="GVR249" s="22"/>
      <c r="GVS249" s="22"/>
      <c r="GVT249" s="22"/>
      <c r="GVU249" s="22"/>
      <c r="GVV249" s="22"/>
      <c r="GVW249" s="22"/>
      <c r="GVX249" s="22"/>
      <c r="GVY249" s="22"/>
      <c r="GVZ249" s="22"/>
      <c r="GWA249" s="22"/>
      <c r="GWB249" s="22"/>
      <c r="GWC249" s="22"/>
      <c r="GWD249" s="22"/>
      <c r="GWE249" s="22"/>
      <c r="GWF249" s="22"/>
      <c r="GWG249" s="22"/>
      <c r="GWH249" s="22"/>
      <c r="GWI249" s="22"/>
      <c r="GWJ249" s="22"/>
      <c r="GWK249" s="22"/>
      <c r="GWL249" s="22"/>
      <c r="GWM249" s="22"/>
      <c r="GWN249" s="22"/>
      <c r="GWO249" s="22"/>
      <c r="GWP249" s="22"/>
      <c r="GWQ249" s="22"/>
      <c r="GWR249" s="22"/>
      <c r="GWS249" s="22"/>
      <c r="GWT249" s="22"/>
      <c r="GWU249" s="22"/>
      <c r="GWV249" s="22"/>
      <c r="GWW249" s="22"/>
      <c r="GWX249" s="22"/>
      <c r="GWY249" s="22"/>
      <c r="GWZ249" s="22"/>
      <c r="GXA249" s="22"/>
      <c r="GXB249" s="22"/>
      <c r="GXC249" s="22"/>
      <c r="GXD249" s="22"/>
      <c r="GXE249" s="22"/>
      <c r="GXF249" s="22"/>
      <c r="GXG249" s="22"/>
      <c r="GXH249" s="22"/>
      <c r="GXI249" s="22"/>
      <c r="GXJ249" s="22"/>
      <c r="GXK249" s="22"/>
      <c r="GXL249" s="22"/>
      <c r="GXM249" s="22"/>
      <c r="GXN249" s="22"/>
      <c r="GXO249" s="22"/>
      <c r="GXP249" s="22"/>
      <c r="GXQ249" s="22"/>
      <c r="GXR249" s="22"/>
      <c r="GXS249" s="22"/>
      <c r="GXT249" s="22"/>
      <c r="GXU249" s="22"/>
      <c r="GXV249" s="22"/>
      <c r="GXW249" s="22"/>
      <c r="GXX249" s="22"/>
      <c r="GXY249" s="22"/>
      <c r="GXZ249" s="22"/>
      <c r="GYA249" s="22"/>
      <c r="GYB249" s="22"/>
      <c r="GYC249" s="22"/>
      <c r="GYD249" s="22"/>
      <c r="GYE249" s="22"/>
      <c r="GYF249" s="22"/>
      <c r="GYG249" s="22"/>
      <c r="GYH249" s="22"/>
      <c r="GYI249" s="22"/>
      <c r="GYJ249" s="22"/>
      <c r="GYK249" s="22"/>
      <c r="GYL249" s="22"/>
      <c r="GYM249" s="22"/>
      <c r="GYN249" s="22"/>
      <c r="GYO249" s="22"/>
      <c r="GYP249" s="22"/>
      <c r="GYQ249" s="22"/>
      <c r="GYR249" s="22"/>
      <c r="GYS249" s="22"/>
      <c r="GYT249" s="22"/>
      <c r="GYU249" s="22"/>
      <c r="GYV249" s="22"/>
      <c r="GYW249" s="22"/>
      <c r="GYX249" s="22"/>
      <c r="GYY249" s="22"/>
      <c r="GYZ249" s="22"/>
      <c r="GZA249" s="22"/>
      <c r="GZB249" s="22"/>
      <c r="GZC249" s="22"/>
      <c r="GZD249" s="22"/>
      <c r="GZE249" s="22"/>
      <c r="GZF249" s="22"/>
      <c r="GZG249" s="22"/>
      <c r="GZH249" s="22"/>
      <c r="GZI249" s="22"/>
      <c r="GZJ249" s="22"/>
      <c r="GZK249" s="22"/>
      <c r="GZL249" s="22"/>
      <c r="GZM249" s="22"/>
      <c r="GZN249" s="22"/>
      <c r="GZO249" s="22"/>
      <c r="GZP249" s="22"/>
      <c r="GZQ249" s="22"/>
      <c r="GZR249" s="22"/>
      <c r="GZS249" s="22"/>
      <c r="GZT249" s="22"/>
      <c r="GZU249" s="22"/>
      <c r="GZV249" s="22"/>
      <c r="GZW249" s="22"/>
      <c r="GZX249" s="22"/>
      <c r="GZY249" s="22"/>
      <c r="GZZ249" s="22"/>
      <c r="HAA249" s="22"/>
      <c r="HAB249" s="22"/>
      <c r="HAC249" s="22"/>
      <c r="HAD249" s="22"/>
      <c r="HAE249" s="22"/>
      <c r="HAF249" s="22"/>
      <c r="HAG249" s="22"/>
      <c r="HAH249" s="22"/>
      <c r="HAI249" s="22"/>
      <c r="HAJ249" s="22"/>
      <c r="HAK249" s="22"/>
      <c r="HAL249" s="22"/>
      <c r="HAM249" s="22"/>
      <c r="HAN249" s="22"/>
      <c r="HAO249" s="22"/>
      <c r="HAP249" s="22"/>
      <c r="HAQ249" s="22"/>
      <c r="HAR249" s="22"/>
      <c r="HAS249" s="22"/>
      <c r="HAT249" s="22"/>
      <c r="HAU249" s="22"/>
      <c r="HAV249" s="22"/>
      <c r="HAW249" s="22"/>
      <c r="HAX249" s="22"/>
      <c r="HAY249" s="22"/>
      <c r="HAZ249" s="22"/>
      <c r="HBA249" s="22"/>
      <c r="HBB249" s="22"/>
      <c r="HBC249" s="22"/>
      <c r="HBD249" s="22"/>
      <c r="HBE249" s="22"/>
      <c r="HBF249" s="22"/>
      <c r="HBG249" s="22"/>
      <c r="HBH249" s="22"/>
      <c r="HBI249" s="22"/>
      <c r="HBJ249" s="22"/>
      <c r="HBK249" s="22"/>
      <c r="HBL249" s="22"/>
      <c r="HBM249" s="22"/>
      <c r="HBN249" s="22"/>
      <c r="HBO249" s="22"/>
      <c r="HBP249" s="22"/>
      <c r="HBQ249" s="22"/>
      <c r="HBR249" s="22"/>
      <c r="HBS249" s="22"/>
      <c r="HBT249" s="22"/>
      <c r="HBU249" s="22"/>
      <c r="HBV249" s="22"/>
      <c r="HBW249" s="22"/>
      <c r="HBX249" s="22"/>
      <c r="HBY249" s="22"/>
      <c r="HBZ249" s="22"/>
      <c r="HCA249" s="22"/>
      <c r="HCB249" s="22"/>
      <c r="HCC249" s="22"/>
      <c r="HCD249" s="22"/>
      <c r="HCE249" s="22"/>
      <c r="HCF249" s="22"/>
      <c r="HCG249" s="22"/>
      <c r="HCH249" s="22"/>
      <c r="HCI249" s="22"/>
      <c r="HCJ249" s="22"/>
      <c r="HCK249" s="22"/>
      <c r="HCL249" s="22"/>
      <c r="HCM249" s="22"/>
      <c r="HCN249" s="22"/>
      <c r="HCO249" s="22"/>
      <c r="HCP249" s="22"/>
      <c r="HCQ249" s="22"/>
      <c r="HCR249" s="22"/>
      <c r="HCS249" s="22"/>
      <c r="HCT249" s="22"/>
      <c r="HCU249" s="22"/>
      <c r="HCV249" s="22"/>
      <c r="HCW249" s="22"/>
      <c r="HCX249" s="22"/>
      <c r="HCY249" s="22"/>
      <c r="HCZ249" s="22"/>
      <c r="HDA249" s="22"/>
      <c r="HDB249" s="22"/>
      <c r="HDC249" s="22"/>
      <c r="HDD249" s="22"/>
      <c r="HDE249" s="22"/>
      <c r="HDF249" s="22"/>
      <c r="HDG249" s="22"/>
      <c r="HDH249" s="22"/>
      <c r="HDI249" s="22"/>
      <c r="HDJ249" s="22"/>
      <c r="HDK249" s="22"/>
      <c r="HDL249" s="22"/>
      <c r="HDM249" s="22"/>
      <c r="HDN249" s="22"/>
      <c r="HDO249" s="22"/>
      <c r="HDP249" s="22"/>
      <c r="HDQ249" s="22"/>
      <c r="HDR249" s="22"/>
      <c r="HDS249" s="22"/>
      <c r="HDT249" s="22"/>
      <c r="HDU249" s="22"/>
      <c r="HDV249" s="22"/>
      <c r="HDW249" s="22"/>
      <c r="HDX249" s="22"/>
      <c r="HDY249" s="22"/>
      <c r="HDZ249" s="22"/>
      <c r="HEA249" s="22"/>
      <c r="HEB249" s="22"/>
      <c r="HEC249" s="22"/>
      <c r="HED249" s="22"/>
      <c r="HEE249" s="22"/>
      <c r="HEF249" s="22"/>
      <c r="HEG249" s="22"/>
      <c r="HEH249" s="22"/>
      <c r="HEI249" s="22"/>
      <c r="HEJ249" s="22"/>
      <c r="HEK249" s="22"/>
      <c r="HEL249" s="22"/>
      <c r="HEM249" s="22"/>
      <c r="HEN249" s="22"/>
      <c r="HEO249" s="22"/>
      <c r="HEP249" s="22"/>
      <c r="HEQ249" s="22"/>
      <c r="HER249" s="22"/>
      <c r="HES249" s="22"/>
      <c r="HET249" s="22"/>
      <c r="HEU249" s="22"/>
      <c r="HEV249" s="22"/>
      <c r="HEW249" s="22"/>
      <c r="HEX249" s="22"/>
      <c r="HEY249" s="22"/>
      <c r="HEZ249" s="22"/>
      <c r="HFA249" s="22"/>
      <c r="HFB249" s="22"/>
      <c r="HFC249" s="22"/>
      <c r="HFD249" s="22"/>
      <c r="HFE249" s="22"/>
      <c r="HFF249" s="22"/>
      <c r="HFG249" s="22"/>
      <c r="HFH249" s="22"/>
      <c r="HFI249" s="22"/>
      <c r="HFJ249" s="22"/>
      <c r="HFK249" s="22"/>
      <c r="HFL249" s="22"/>
      <c r="HFM249" s="22"/>
      <c r="HFN249" s="22"/>
      <c r="HFO249" s="22"/>
      <c r="HFP249" s="22"/>
      <c r="HFQ249" s="22"/>
      <c r="HFR249" s="22"/>
      <c r="HFS249" s="22"/>
      <c r="HFT249" s="22"/>
      <c r="HFU249" s="22"/>
      <c r="HFV249" s="22"/>
      <c r="HFW249" s="22"/>
      <c r="HFX249" s="22"/>
      <c r="HFY249" s="22"/>
      <c r="HFZ249" s="22"/>
      <c r="HGA249" s="22"/>
      <c r="HGB249" s="22"/>
      <c r="HGC249" s="22"/>
      <c r="HGD249" s="22"/>
      <c r="HGE249" s="22"/>
      <c r="HGF249" s="22"/>
      <c r="HGG249" s="22"/>
      <c r="HGH249" s="22"/>
      <c r="HGI249" s="22"/>
      <c r="HGJ249" s="22"/>
      <c r="HGK249" s="22"/>
      <c r="HGL249" s="22"/>
      <c r="HGM249" s="22"/>
      <c r="HGN249" s="22"/>
      <c r="HGO249" s="22"/>
      <c r="HGP249" s="22"/>
      <c r="HGQ249" s="22"/>
      <c r="HGR249" s="22"/>
      <c r="HGS249" s="22"/>
      <c r="HGT249" s="22"/>
      <c r="HGU249" s="22"/>
      <c r="HGV249" s="22"/>
      <c r="HGW249" s="22"/>
      <c r="HGX249" s="22"/>
      <c r="HGY249" s="22"/>
      <c r="HGZ249" s="22"/>
      <c r="HHA249" s="22"/>
      <c r="HHB249" s="22"/>
      <c r="HHC249" s="22"/>
      <c r="HHD249" s="22"/>
      <c r="HHE249" s="22"/>
      <c r="HHF249" s="22"/>
      <c r="HHG249" s="22"/>
      <c r="HHH249" s="22"/>
      <c r="HHI249" s="22"/>
      <c r="HHJ249" s="22"/>
      <c r="HHK249" s="22"/>
      <c r="HHL249" s="22"/>
      <c r="HHM249" s="22"/>
      <c r="HHN249" s="22"/>
      <c r="HHO249" s="22"/>
      <c r="HHP249" s="22"/>
      <c r="HHQ249" s="22"/>
      <c r="HHR249" s="22"/>
      <c r="HHS249" s="22"/>
      <c r="HHT249" s="22"/>
      <c r="HHU249" s="22"/>
      <c r="HHV249" s="22"/>
      <c r="HHW249" s="22"/>
      <c r="HHX249" s="22"/>
      <c r="HHY249" s="22"/>
      <c r="HHZ249" s="22"/>
      <c r="HIA249" s="22"/>
      <c r="HIB249" s="22"/>
      <c r="HIC249" s="22"/>
      <c r="HID249" s="22"/>
      <c r="HIE249" s="22"/>
      <c r="HIF249" s="22"/>
      <c r="HIG249" s="22"/>
      <c r="HIH249" s="22"/>
      <c r="HII249" s="22"/>
      <c r="HIJ249" s="22"/>
      <c r="HIK249" s="22"/>
      <c r="HIL249" s="22"/>
      <c r="HIM249" s="22"/>
      <c r="HIN249" s="22"/>
      <c r="HIO249" s="22"/>
      <c r="HIP249" s="22"/>
      <c r="HIQ249" s="22"/>
      <c r="HIR249" s="22"/>
      <c r="HIS249" s="22"/>
      <c r="HIT249" s="22"/>
      <c r="HIU249" s="22"/>
      <c r="HIV249" s="22"/>
      <c r="HIW249" s="22"/>
      <c r="HIX249" s="22"/>
      <c r="HIY249" s="22"/>
      <c r="HIZ249" s="22"/>
      <c r="HJA249" s="22"/>
      <c r="HJB249" s="22"/>
      <c r="HJC249" s="22"/>
      <c r="HJD249" s="22"/>
      <c r="HJE249" s="22"/>
      <c r="HJF249" s="22"/>
      <c r="HJG249" s="22"/>
      <c r="HJH249" s="22"/>
      <c r="HJI249" s="22"/>
      <c r="HJJ249" s="22"/>
      <c r="HJK249" s="22"/>
      <c r="HJL249" s="22"/>
      <c r="HJM249" s="22"/>
      <c r="HJN249" s="22"/>
      <c r="HJO249" s="22"/>
      <c r="HJP249" s="22"/>
      <c r="HJQ249" s="22"/>
      <c r="HJR249" s="22"/>
      <c r="HJS249" s="22"/>
      <c r="HJT249" s="22"/>
      <c r="HJU249" s="22"/>
      <c r="HJV249" s="22"/>
      <c r="HJW249" s="22"/>
      <c r="HJX249" s="22"/>
      <c r="HJY249" s="22"/>
      <c r="HJZ249" s="22"/>
      <c r="HKA249" s="22"/>
      <c r="HKB249" s="22"/>
      <c r="HKC249" s="22"/>
      <c r="HKD249" s="22"/>
      <c r="HKE249" s="22"/>
      <c r="HKF249" s="22"/>
      <c r="HKG249" s="22"/>
      <c r="HKH249" s="22"/>
      <c r="HKI249" s="22"/>
      <c r="HKJ249" s="22"/>
      <c r="HKK249" s="22"/>
      <c r="HKL249" s="22"/>
      <c r="HKM249" s="22"/>
      <c r="HKN249" s="22"/>
      <c r="HKO249" s="22"/>
      <c r="HKP249" s="22"/>
      <c r="HKQ249" s="22"/>
      <c r="HKR249" s="22"/>
      <c r="HKS249" s="22"/>
      <c r="HKT249" s="22"/>
      <c r="HKU249" s="22"/>
      <c r="HKV249" s="22"/>
      <c r="HKW249" s="22"/>
      <c r="HKX249" s="22"/>
      <c r="HKY249" s="22"/>
      <c r="HKZ249" s="22"/>
      <c r="HLA249" s="22"/>
      <c r="HLB249" s="22"/>
      <c r="HLC249" s="22"/>
      <c r="HLD249" s="22"/>
      <c r="HLE249" s="22"/>
      <c r="HLF249" s="22"/>
      <c r="HLG249" s="22"/>
      <c r="HLH249" s="22"/>
      <c r="HLI249" s="22"/>
      <c r="HLJ249" s="22"/>
      <c r="HLK249" s="22"/>
      <c r="HLL249" s="22"/>
      <c r="HLM249" s="22"/>
      <c r="HLN249" s="22"/>
      <c r="HLO249" s="22"/>
      <c r="HLP249" s="22"/>
      <c r="HLQ249" s="22"/>
      <c r="HLR249" s="22"/>
      <c r="HLS249" s="22"/>
      <c r="HLT249" s="22"/>
      <c r="HLU249" s="22"/>
      <c r="HLV249" s="22"/>
      <c r="HLW249" s="22"/>
      <c r="HLX249" s="22"/>
      <c r="HLY249" s="22"/>
      <c r="HLZ249" s="22"/>
      <c r="HMA249" s="22"/>
      <c r="HMB249" s="22"/>
      <c r="HMC249" s="22"/>
      <c r="HMD249" s="22"/>
      <c r="HME249" s="22"/>
      <c r="HMF249" s="22"/>
      <c r="HMG249" s="22"/>
      <c r="HMH249" s="22"/>
      <c r="HMI249" s="22"/>
      <c r="HMJ249" s="22"/>
      <c r="HMK249" s="22"/>
      <c r="HML249" s="22"/>
      <c r="HMM249" s="22"/>
      <c r="HMN249" s="22"/>
      <c r="HMO249" s="22"/>
      <c r="HMP249" s="22"/>
      <c r="HMQ249" s="22"/>
      <c r="HMR249" s="22"/>
      <c r="HMS249" s="22"/>
      <c r="HMT249" s="22"/>
      <c r="HMU249" s="22"/>
      <c r="HMV249" s="22"/>
      <c r="HMW249" s="22"/>
      <c r="HMX249" s="22"/>
      <c r="HMY249" s="22"/>
      <c r="HMZ249" s="22"/>
      <c r="HNA249" s="22"/>
      <c r="HNB249" s="22"/>
      <c r="HNC249" s="22"/>
      <c r="HND249" s="22"/>
      <c r="HNE249" s="22"/>
      <c r="HNF249" s="22"/>
      <c r="HNG249" s="22"/>
      <c r="HNH249" s="22"/>
      <c r="HNI249" s="22"/>
      <c r="HNJ249" s="22"/>
      <c r="HNK249" s="22"/>
      <c r="HNL249" s="22"/>
      <c r="HNM249" s="22"/>
      <c r="HNN249" s="22"/>
      <c r="HNO249" s="22"/>
      <c r="HNP249" s="22"/>
      <c r="HNQ249" s="22"/>
      <c r="HNR249" s="22"/>
      <c r="HNS249" s="22"/>
      <c r="HNT249" s="22"/>
      <c r="HNU249" s="22"/>
      <c r="HNV249" s="22"/>
      <c r="HNW249" s="22"/>
      <c r="HNX249" s="22"/>
      <c r="HNY249" s="22"/>
      <c r="HNZ249" s="22"/>
      <c r="HOA249" s="22"/>
      <c r="HOB249" s="22"/>
      <c r="HOC249" s="22"/>
      <c r="HOD249" s="22"/>
      <c r="HOE249" s="22"/>
      <c r="HOF249" s="22"/>
      <c r="HOG249" s="22"/>
      <c r="HOH249" s="22"/>
      <c r="HOI249" s="22"/>
      <c r="HOJ249" s="22"/>
      <c r="HOK249" s="22"/>
      <c r="HOL249" s="22"/>
      <c r="HOM249" s="22"/>
      <c r="HON249" s="22"/>
      <c r="HOO249" s="22"/>
      <c r="HOP249" s="22"/>
      <c r="HOQ249" s="22"/>
      <c r="HOR249" s="22"/>
      <c r="HOS249" s="22"/>
      <c r="HOT249" s="22"/>
      <c r="HOU249" s="22"/>
      <c r="HOV249" s="22"/>
      <c r="HOW249" s="22"/>
      <c r="HOX249" s="22"/>
      <c r="HOY249" s="22"/>
      <c r="HOZ249" s="22"/>
      <c r="HPA249" s="22"/>
      <c r="HPB249" s="22"/>
      <c r="HPC249" s="22"/>
      <c r="HPD249" s="22"/>
      <c r="HPE249" s="22"/>
      <c r="HPF249" s="22"/>
      <c r="HPG249" s="22"/>
      <c r="HPH249" s="22"/>
      <c r="HPI249" s="22"/>
      <c r="HPJ249" s="22"/>
      <c r="HPK249" s="22"/>
      <c r="HPL249" s="22"/>
      <c r="HPM249" s="22"/>
      <c r="HPN249" s="22"/>
      <c r="HPO249" s="22"/>
      <c r="HPP249" s="22"/>
      <c r="HPQ249" s="22"/>
      <c r="HPR249" s="22"/>
      <c r="HPS249" s="22"/>
      <c r="HPT249" s="22"/>
      <c r="HPU249" s="22"/>
      <c r="HPV249" s="22"/>
      <c r="HPW249" s="22"/>
      <c r="HPX249" s="22"/>
      <c r="HPY249" s="22"/>
      <c r="HPZ249" s="22"/>
      <c r="HQA249" s="22"/>
      <c r="HQB249" s="22"/>
      <c r="HQC249" s="22"/>
      <c r="HQD249" s="22"/>
      <c r="HQE249" s="22"/>
      <c r="HQF249" s="22"/>
      <c r="HQG249" s="22"/>
      <c r="HQH249" s="22"/>
      <c r="HQI249" s="22"/>
      <c r="HQJ249" s="22"/>
      <c r="HQK249" s="22"/>
      <c r="HQL249" s="22"/>
      <c r="HQM249" s="22"/>
      <c r="HQN249" s="22"/>
      <c r="HQO249" s="22"/>
      <c r="HQP249" s="22"/>
      <c r="HQQ249" s="22"/>
      <c r="HQR249" s="22"/>
      <c r="HQS249" s="22"/>
      <c r="HQT249" s="22"/>
      <c r="HQU249" s="22"/>
      <c r="HQV249" s="22"/>
      <c r="HQW249" s="22"/>
      <c r="HQX249" s="22"/>
      <c r="HQY249" s="22"/>
      <c r="HQZ249" s="22"/>
      <c r="HRA249" s="22"/>
      <c r="HRB249" s="22"/>
      <c r="HRC249" s="22"/>
      <c r="HRD249" s="22"/>
      <c r="HRE249" s="22"/>
      <c r="HRF249" s="22"/>
      <c r="HRG249" s="22"/>
      <c r="HRH249" s="22"/>
      <c r="HRI249" s="22"/>
      <c r="HRJ249" s="22"/>
      <c r="HRK249" s="22"/>
      <c r="HRL249" s="22"/>
      <c r="HRM249" s="22"/>
      <c r="HRN249" s="22"/>
      <c r="HRO249" s="22"/>
      <c r="HRP249" s="22"/>
      <c r="HRQ249" s="22"/>
      <c r="HRR249" s="22"/>
      <c r="HRS249" s="22"/>
      <c r="HRT249" s="22"/>
      <c r="HRU249" s="22"/>
      <c r="HRV249" s="22"/>
      <c r="HRW249" s="22"/>
      <c r="HRX249" s="22"/>
      <c r="HRY249" s="22"/>
      <c r="HRZ249" s="22"/>
      <c r="HSA249" s="22"/>
      <c r="HSB249" s="22"/>
      <c r="HSC249" s="22"/>
      <c r="HSD249" s="22"/>
      <c r="HSE249" s="22"/>
      <c r="HSF249" s="22"/>
      <c r="HSG249" s="22"/>
      <c r="HSH249" s="22"/>
      <c r="HSI249" s="22"/>
      <c r="HSJ249" s="22"/>
      <c r="HSK249" s="22"/>
      <c r="HSL249" s="22"/>
      <c r="HSM249" s="22"/>
      <c r="HSN249" s="22"/>
      <c r="HSO249" s="22"/>
      <c r="HSP249" s="22"/>
      <c r="HSQ249" s="22"/>
      <c r="HSR249" s="22"/>
      <c r="HSS249" s="22"/>
      <c r="HST249" s="22"/>
      <c r="HSU249" s="22"/>
      <c r="HSV249" s="22"/>
      <c r="HSW249" s="22"/>
      <c r="HSX249" s="22"/>
      <c r="HSY249" s="22"/>
      <c r="HSZ249" s="22"/>
      <c r="HTA249" s="22"/>
      <c r="HTB249" s="22"/>
      <c r="HTC249" s="22"/>
      <c r="HTD249" s="22"/>
      <c r="HTE249" s="22"/>
      <c r="HTF249" s="22"/>
      <c r="HTG249" s="22"/>
      <c r="HTH249" s="22"/>
      <c r="HTI249" s="22"/>
      <c r="HTJ249" s="22"/>
      <c r="HTK249" s="22"/>
      <c r="HTL249" s="22"/>
      <c r="HTM249" s="22"/>
      <c r="HTN249" s="22"/>
      <c r="HTO249" s="22"/>
      <c r="HTP249" s="22"/>
      <c r="HTQ249" s="22"/>
      <c r="HTR249" s="22"/>
      <c r="HTS249" s="22"/>
      <c r="HTT249" s="22"/>
      <c r="HTU249" s="22"/>
      <c r="HTV249" s="22"/>
      <c r="HTW249" s="22"/>
      <c r="HTX249" s="22"/>
      <c r="HTY249" s="22"/>
      <c r="HTZ249" s="22"/>
      <c r="HUA249" s="22"/>
      <c r="HUB249" s="22"/>
      <c r="HUC249" s="22"/>
      <c r="HUD249" s="22"/>
      <c r="HUE249" s="22"/>
      <c r="HUF249" s="22"/>
      <c r="HUG249" s="22"/>
      <c r="HUH249" s="22"/>
      <c r="HUI249" s="22"/>
      <c r="HUJ249" s="22"/>
      <c r="HUK249" s="22"/>
      <c r="HUL249" s="22"/>
      <c r="HUM249" s="22"/>
      <c r="HUN249" s="22"/>
      <c r="HUO249" s="22"/>
      <c r="HUP249" s="22"/>
      <c r="HUQ249" s="22"/>
      <c r="HUR249" s="22"/>
      <c r="HUS249" s="22"/>
      <c r="HUT249" s="22"/>
      <c r="HUU249" s="22"/>
      <c r="HUV249" s="22"/>
      <c r="HUW249" s="22"/>
      <c r="HUX249" s="22"/>
      <c r="HUY249" s="22"/>
      <c r="HUZ249" s="22"/>
      <c r="HVA249" s="22"/>
      <c r="HVB249" s="22"/>
      <c r="HVC249" s="22"/>
      <c r="HVD249" s="22"/>
      <c r="HVE249" s="22"/>
      <c r="HVF249" s="22"/>
      <c r="HVG249" s="22"/>
      <c r="HVH249" s="22"/>
      <c r="HVI249" s="22"/>
      <c r="HVJ249" s="22"/>
      <c r="HVK249" s="22"/>
      <c r="HVL249" s="22"/>
      <c r="HVM249" s="22"/>
      <c r="HVN249" s="22"/>
      <c r="HVO249" s="22"/>
      <c r="HVP249" s="22"/>
      <c r="HVQ249" s="22"/>
      <c r="HVR249" s="22"/>
      <c r="HVS249" s="22"/>
      <c r="HVT249" s="22"/>
      <c r="HVU249" s="22"/>
      <c r="HVV249" s="22"/>
      <c r="HVW249" s="22"/>
      <c r="HVX249" s="22"/>
      <c r="HVY249" s="22"/>
      <c r="HVZ249" s="22"/>
      <c r="HWA249" s="22"/>
      <c r="HWB249" s="22"/>
      <c r="HWC249" s="22"/>
      <c r="HWD249" s="22"/>
      <c r="HWE249" s="22"/>
      <c r="HWF249" s="22"/>
      <c r="HWG249" s="22"/>
      <c r="HWH249" s="22"/>
      <c r="HWI249" s="22"/>
      <c r="HWJ249" s="22"/>
      <c r="HWK249" s="22"/>
      <c r="HWL249" s="22"/>
      <c r="HWM249" s="22"/>
      <c r="HWN249" s="22"/>
      <c r="HWO249" s="22"/>
      <c r="HWP249" s="22"/>
      <c r="HWQ249" s="22"/>
      <c r="HWR249" s="22"/>
      <c r="HWS249" s="22"/>
      <c r="HWT249" s="22"/>
      <c r="HWU249" s="22"/>
      <c r="HWV249" s="22"/>
      <c r="HWW249" s="22"/>
      <c r="HWX249" s="22"/>
      <c r="HWY249" s="22"/>
      <c r="HWZ249" s="22"/>
      <c r="HXA249" s="22"/>
      <c r="HXB249" s="22"/>
      <c r="HXC249" s="22"/>
      <c r="HXD249" s="22"/>
      <c r="HXE249" s="22"/>
      <c r="HXF249" s="22"/>
      <c r="HXG249" s="22"/>
      <c r="HXH249" s="22"/>
      <c r="HXI249" s="22"/>
      <c r="HXJ249" s="22"/>
      <c r="HXK249" s="22"/>
      <c r="HXL249" s="22"/>
      <c r="HXM249" s="22"/>
      <c r="HXN249" s="22"/>
      <c r="HXO249" s="22"/>
      <c r="HXP249" s="22"/>
      <c r="HXQ249" s="22"/>
      <c r="HXR249" s="22"/>
      <c r="HXS249" s="22"/>
      <c r="HXT249" s="22"/>
      <c r="HXU249" s="22"/>
      <c r="HXV249" s="22"/>
      <c r="HXW249" s="22"/>
      <c r="HXX249" s="22"/>
      <c r="HXY249" s="22"/>
      <c r="HXZ249" s="22"/>
      <c r="HYA249" s="22"/>
      <c r="HYB249" s="22"/>
      <c r="HYC249" s="22"/>
      <c r="HYD249" s="22"/>
      <c r="HYE249" s="22"/>
      <c r="HYF249" s="22"/>
      <c r="HYG249" s="22"/>
      <c r="HYH249" s="22"/>
      <c r="HYI249" s="22"/>
      <c r="HYJ249" s="22"/>
      <c r="HYK249" s="22"/>
      <c r="HYL249" s="22"/>
      <c r="HYM249" s="22"/>
      <c r="HYN249" s="22"/>
      <c r="HYO249" s="22"/>
      <c r="HYP249" s="22"/>
      <c r="HYQ249" s="22"/>
      <c r="HYR249" s="22"/>
      <c r="HYS249" s="22"/>
      <c r="HYT249" s="22"/>
      <c r="HYU249" s="22"/>
      <c r="HYV249" s="22"/>
      <c r="HYW249" s="22"/>
      <c r="HYX249" s="22"/>
      <c r="HYY249" s="22"/>
      <c r="HYZ249" s="22"/>
      <c r="HZA249" s="22"/>
      <c r="HZB249" s="22"/>
      <c r="HZC249" s="22"/>
      <c r="HZD249" s="22"/>
      <c r="HZE249" s="22"/>
      <c r="HZF249" s="22"/>
      <c r="HZG249" s="22"/>
      <c r="HZH249" s="22"/>
      <c r="HZI249" s="22"/>
      <c r="HZJ249" s="22"/>
      <c r="HZK249" s="22"/>
      <c r="HZL249" s="22"/>
      <c r="HZM249" s="22"/>
      <c r="HZN249" s="22"/>
      <c r="HZO249" s="22"/>
      <c r="HZP249" s="22"/>
      <c r="HZQ249" s="22"/>
      <c r="HZR249" s="22"/>
      <c r="HZS249" s="22"/>
      <c r="HZT249" s="22"/>
      <c r="HZU249" s="22"/>
      <c r="HZV249" s="22"/>
      <c r="HZW249" s="22"/>
      <c r="HZX249" s="22"/>
      <c r="HZY249" s="22"/>
      <c r="HZZ249" s="22"/>
      <c r="IAA249" s="22"/>
      <c r="IAB249" s="22"/>
      <c r="IAC249" s="22"/>
      <c r="IAD249" s="22"/>
      <c r="IAE249" s="22"/>
      <c r="IAF249" s="22"/>
      <c r="IAG249" s="22"/>
      <c r="IAH249" s="22"/>
      <c r="IAI249" s="22"/>
      <c r="IAJ249" s="22"/>
      <c r="IAK249" s="22"/>
      <c r="IAL249" s="22"/>
      <c r="IAM249" s="22"/>
      <c r="IAN249" s="22"/>
      <c r="IAO249" s="22"/>
      <c r="IAP249" s="22"/>
      <c r="IAQ249" s="22"/>
      <c r="IAR249" s="22"/>
      <c r="IAS249" s="22"/>
      <c r="IAT249" s="22"/>
      <c r="IAU249" s="22"/>
      <c r="IAV249" s="22"/>
      <c r="IAW249" s="22"/>
      <c r="IAX249" s="22"/>
      <c r="IAY249" s="22"/>
      <c r="IAZ249" s="22"/>
      <c r="IBA249" s="22"/>
      <c r="IBB249" s="22"/>
      <c r="IBC249" s="22"/>
      <c r="IBD249" s="22"/>
      <c r="IBE249" s="22"/>
      <c r="IBF249" s="22"/>
      <c r="IBG249" s="22"/>
      <c r="IBH249" s="22"/>
      <c r="IBI249" s="22"/>
      <c r="IBJ249" s="22"/>
      <c r="IBK249" s="22"/>
      <c r="IBL249" s="22"/>
      <c r="IBM249" s="22"/>
      <c r="IBN249" s="22"/>
      <c r="IBO249" s="22"/>
      <c r="IBP249" s="22"/>
      <c r="IBQ249" s="22"/>
      <c r="IBR249" s="22"/>
      <c r="IBS249" s="22"/>
      <c r="IBT249" s="22"/>
      <c r="IBU249" s="22"/>
      <c r="IBV249" s="22"/>
      <c r="IBW249" s="22"/>
      <c r="IBX249" s="22"/>
      <c r="IBY249" s="22"/>
      <c r="IBZ249" s="22"/>
      <c r="ICA249" s="22"/>
      <c r="ICB249" s="22"/>
      <c r="ICC249" s="22"/>
      <c r="ICD249" s="22"/>
      <c r="ICE249" s="22"/>
      <c r="ICF249" s="22"/>
      <c r="ICG249" s="22"/>
      <c r="ICH249" s="22"/>
      <c r="ICI249" s="22"/>
      <c r="ICJ249" s="22"/>
      <c r="ICK249" s="22"/>
      <c r="ICL249" s="22"/>
      <c r="ICM249" s="22"/>
      <c r="ICN249" s="22"/>
      <c r="ICO249" s="22"/>
      <c r="ICP249" s="22"/>
      <c r="ICQ249" s="22"/>
      <c r="ICR249" s="22"/>
      <c r="ICS249" s="22"/>
      <c r="ICT249" s="22"/>
      <c r="ICU249" s="22"/>
      <c r="ICV249" s="22"/>
      <c r="ICW249" s="22"/>
      <c r="ICX249" s="22"/>
      <c r="ICY249" s="22"/>
      <c r="ICZ249" s="22"/>
      <c r="IDA249" s="22"/>
      <c r="IDB249" s="22"/>
      <c r="IDC249" s="22"/>
      <c r="IDD249" s="22"/>
      <c r="IDE249" s="22"/>
      <c r="IDF249" s="22"/>
      <c r="IDG249" s="22"/>
      <c r="IDH249" s="22"/>
      <c r="IDI249" s="22"/>
      <c r="IDJ249" s="22"/>
      <c r="IDK249" s="22"/>
      <c r="IDL249" s="22"/>
      <c r="IDM249" s="22"/>
      <c r="IDN249" s="22"/>
      <c r="IDO249" s="22"/>
      <c r="IDP249" s="22"/>
      <c r="IDQ249" s="22"/>
      <c r="IDR249" s="22"/>
      <c r="IDS249" s="22"/>
      <c r="IDT249" s="22"/>
      <c r="IDU249" s="22"/>
      <c r="IDV249" s="22"/>
      <c r="IDW249" s="22"/>
      <c r="IDX249" s="22"/>
      <c r="IDY249" s="22"/>
      <c r="IDZ249" s="22"/>
      <c r="IEA249" s="22"/>
      <c r="IEB249" s="22"/>
      <c r="IEC249" s="22"/>
      <c r="IED249" s="22"/>
      <c r="IEE249" s="22"/>
      <c r="IEF249" s="22"/>
      <c r="IEG249" s="22"/>
      <c r="IEH249" s="22"/>
      <c r="IEI249" s="22"/>
      <c r="IEJ249" s="22"/>
      <c r="IEK249" s="22"/>
      <c r="IEL249" s="22"/>
      <c r="IEM249" s="22"/>
      <c r="IEN249" s="22"/>
      <c r="IEO249" s="22"/>
      <c r="IEP249" s="22"/>
      <c r="IEQ249" s="22"/>
      <c r="IER249" s="22"/>
      <c r="IES249" s="22"/>
      <c r="IET249" s="22"/>
      <c r="IEU249" s="22"/>
      <c r="IEV249" s="22"/>
      <c r="IEW249" s="22"/>
      <c r="IEX249" s="22"/>
      <c r="IEY249" s="22"/>
      <c r="IEZ249" s="22"/>
      <c r="IFA249" s="22"/>
      <c r="IFB249" s="22"/>
      <c r="IFC249" s="22"/>
      <c r="IFD249" s="22"/>
      <c r="IFE249" s="22"/>
      <c r="IFF249" s="22"/>
      <c r="IFG249" s="22"/>
      <c r="IFH249" s="22"/>
      <c r="IFI249" s="22"/>
      <c r="IFJ249" s="22"/>
      <c r="IFK249" s="22"/>
      <c r="IFL249" s="22"/>
      <c r="IFM249" s="22"/>
      <c r="IFN249" s="22"/>
      <c r="IFO249" s="22"/>
      <c r="IFP249" s="22"/>
      <c r="IFQ249" s="22"/>
      <c r="IFR249" s="22"/>
      <c r="IFS249" s="22"/>
      <c r="IFT249" s="22"/>
      <c r="IFU249" s="22"/>
      <c r="IFV249" s="22"/>
      <c r="IFW249" s="22"/>
      <c r="IFX249" s="22"/>
      <c r="IFY249" s="22"/>
      <c r="IFZ249" s="22"/>
      <c r="IGA249" s="22"/>
      <c r="IGB249" s="22"/>
      <c r="IGC249" s="22"/>
      <c r="IGD249" s="22"/>
      <c r="IGE249" s="22"/>
      <c r="IGF249" s="22"/>
      <c r="IGG249" s="22"/>
      <c r="IGH249" s="22"/>
      <c r="IGI249" s="22"/>
      <c r="IGJ249" s="22"/>
      <c r="IGK249" s="22"/>
      <c r="IGL249" s="22"/>
      <c r="IGM249" s="22"/>
      <c r="IGN249" s="22"/>
      <c r="IGO249" s="22"/>
      <c r="IGP249" s="22"/>
      <c r="IGQ249" s="22"/>
      <c r="IGR249" s="22"/>
      <c r="IGS249" s="22"/>
      <c r="IGT249" s="22"/>
      <c r="IGU249" s="22"/>
      <c r="IGV249" s="22"/>
      <c r="IGW249" s="22"/>
      <c r="IGX249" s="22"/>
      <c r="IGY249" s="22"/>
      <c r="IGZ249" s="22"/>
      <c r="IHA249" s="22"/>
      <c r="IHB249" s="22"/>
      <c r="IHC249" s="22"/>
      <c r="IHD249" s="22"/>
      <c r="IHE249" s="22"/>
      <c r="IHF249" s="22"/>
      <c r="IHG249" s="22"/>
      <c r="IHH249" s="22"/>
      <c r="IHI249" s="22"/>
      <c r="IHJ249" s="22"/>
      <c r="IHK249" s="22"/>
      <c r="IHL249" s="22"/>
      <c r="IHM249" s="22"/>
      <c r="IHN249" s="22"/>
      <c r="IHO249" s="22"/>
      <c r="IHP249" s="22"/>
      <c r="IHQ249" s="22"/>
      <c r="IHR249" s="22"/>
      <c r="IHS249" s="22"/>
      <c r="IHT249" s="22"/>
      <c r="IHU249" s="22"/>
      <c r="IHV249" s="22"/>
      <c r="IHW249" s="22"/>
      <c r="IHX249" s="22"/>
      <c r="IHY249" s="22"/>
      <c r="IHZ249" s="22"/>
      <c r="IIA249" s="22"/>
      <c r="IIB249" s="22"/>
      <c r="IIC249" s="22"/>
      <c r="IID249" s="22"/>
      <c r="IIE249" s="22"/>
      <c r="IIF249" s="22"/>
      <c r="IIG249" s="22"/>
      <c r="IIH249" s="22"/>
      <c r="III249" s="22"/>
      <c r="IIJ249" s="22"/>
      <c r="IIK249" s="22"/>
      <c r="IIL249" s="22"/>
      <c r="IIM249" s="22"/>
      <c r="IIN249" s="22"/>
      <c r="IIO249" s="22"/>
      <c r="IIP249" s="22"/>
      <c r="IIQ249" s="22"/>
      <c r="IIR249" s="22"/>
      <c r="IIS249" s="22"/>
      <c r="IIT249" s="22"/>
      <c r="IIU249" s="22"/>
      <c r="IIV249" s="22"/>
      <c r="IIW249" s="22"/>
      <c r="IIX249" s="22"/>
      <c r="IIY249" s="22"/>
      <c r="IIZ249" s="22"/>
      <c r="IJA249" s="22"/>
      <c r="IJB249" s="22"/>
      <c r="IJC249" s="22"/>
      <c r="IJD249" s="22"/>
      <c r="IJE249" s="22"/>
      <c r="IJF249" s="22"/>
      <c r="IJG249" s="22"/>
      <c r="IJH249" s="22"/>
      <c r="IJI249" s="22"/>
      <c r="IJJ249" s="22"/>
      <c r="IJK249" s="22"/>
      <c r="IJL249" s="22"/>
      <c r="IJM249" s="22"/>
      <c r="IJN249" s="22"/>
      <c r="IJO249" s="22"/>
      <c r="IJP249" s="22"/>
      <c r="IJQ249" s="22"/>
      <c r="IJR249" s="22"/>
      <c r="IJS249" s="22"/>
      <c r="IJT249" s="22"/>
      <c r="IJU249" s="22"/>
      <c r="IJV249" s="22"/>
      <c r="IJW249" s="22"/>
      <c r="IJX249" s="22"/>
      <c r="IJY249" s="22"/>
      <c r="IJZ249" s="22"/>
      <c r="IKA249" s="22"/>
      <c r="IKB249" s="22"/>
      <c r="IKC249" s="22"/>
      <c r="IKD249" s="22"/>
      <c r="IKE249" s="22"/>
      <c r="IKF249" s="22"/>
      <c r="IKG249" s="22"/>
      <c r="IKH249" s="22"/>
      <c r="IKI249" s="22"/>
      <c r="IKJ249" s="22"/>
      <c r="IKK249" s="22"/>
      <c r="IKL249" s="22"/>
      <c r="IKM249" s="22"/>
      <c r="IKN249" s="22"/>
      <c r="IKO249" s="22"/>
      <c r="IKP249" s="22"/>
      <c r="IKQ249" s="22"/>
      <c r="IKR249" s="22"/>
      <c r="IKS249" s="22"/>
      <c r="IKT249" s="22"/>
      <c r="IKU249" s="22"/>
      <c r="IKV249" s="22"/>
      <c r="IKW249" s="22"/>
      <c r="IKX249" s="22"/>
      <c r="IKY249" s="22"/>
      <c r="IKZ249" s="22"/>
      <c r="ILA249" s="22"/>
      <c r="ILB249" s="22"/>
      <c r="ILC249" s="22"/>
      <c r="ILD249" s="22"/>
      <c r="ILE249" s="22"/>
      <c r="ILF249" s="22"/>
      <c r="ILG249" s="22"/>
      <c r="ILH249" s="22"/>
      <c r="ILI249" s="22"/>
      <c r="ILJ249" s="22"/>
      <c r="ILK249" s="22"/>
      <c r="ILL249" s="22"/>
      <c r="ILM249" s="22"/>
      <c r="ILN249" s="22"/>
      <c r="ILO249" s="22"/>
      <c r="ILP249" s="22"/>
      <c r="ILQ249" s="22"/>
      <c r="ILR249" s="22"/>
      <c r="ILS249" s="22"/>
      <c r="ILT249" s="22"/>
      <c r="ILU249" s="22"/>
      <c r="ILV249" s="22"/>
      <c r="ILW249" s="22"/>
      <c r="ILX249" s="22"/>
      <c r="ILY249" s="22"/>
      <c r="ILZ249" s="22"/>
      <c r="IMA249" s="22"/>
      <c r="IMB249" s="22"/>
      <c r="IMC249" s="22"/>
      <c r="IMD249" s="22"/>
      <c r="IME249" s="22"/>
      <c r="IMF249" s="22"/>
      <c r="IMG249" s="22"/>
      <c r="IMH249" s="22"/>
      <c r="IMI249" s="22"/>
      <c r="IMJ249" s="22"/>
      <c r="IMK249" s="22"/>
      <c r="IML249" s="22"/>
      <c r="IMM249" s="22"/>
      <c r="IMN249" s="22"/>
      <c r="IMO249" s="22"/>
      <c r="IMP249" s="22"/>
      <c r="IMQ249" s="22"/>
      <c r="IMR249" s="22"/>
      <c r="IMS249" s="22"/>
      <c r="IMT249" s="22"/>
      <c r="IMU249" s="22"/>
      <c r="IMV249" s="22"/>
      <c r="IMW249" s="22"/>
      <c r="IMX249" s="22"/>
      <c r="IMY249" s="22"/>
      <c r="IMZ249" s="22"/>
      <c r="INA249" s="22"/>
      <c r="INB249" s="22"/>
      <c r="INC249" s="22"/>
      <c r="IND249" s="22"/>
      <c r="INE249" s="22"/>
      <c r="INF249" s="22"/>
      <c r="ING249" s="22"/>
      <c r="INH249" s="22"/>
      <c r="INI249" s="22"/>
      <c r="INJ249" s="22"/>
      <c r="INK249" s="22"/>
      <c r="INL249" s="22"/>
      <c r="INM249" s="22"/>
      <c r="INN249" s="22"/>
      <c r="INO249" s="22"/>
      <c r="INP249" s="22"/>
      <c r="INQ249" s="22"/>
      <c r="INR249" s="22"/>
      <c r="INS249" s="22"/>
      <c r="INT249" s="22"/>
      <c r="INU249" s="22"/>
      <c r="INV249" s="22"/>
      <c r="INW249" s="22"/>
      <c r="INX249" s="22"/>
      <c r="INY249" s="22"/>
      <c r="INZ249" s="22"/>
      <c r="IOA249" s="22"/>
      <c r="IOB249" s="22"/>
      <c r="IOC249" s="22"/>
      <c r="IOD249" s="22"/>
      <c r="IOE249" s="22"/>
      <c r="IOF249" s="22"/>
      <c r="IOG249" s="22"/>
      <c r="IOH249" s="22"/>
      <c r="IOI249" s="22"/>
      <c r="IOJ249" s="22"/>
      <c r="IOK249" s="22"/>
      <c r="IOL249" s="22"/>
      <c r="IOM249" s="22"/>
      <c r="ION249" s="22"/>
      <c r="IOO249" s="22"/>
      <c r="IOP249" s="22"/>
      <c r="IOQ249" s="22"/>
      <c r="IOR249" s="22"/>
      <c r="IOS249" s="22"/>
      <c r="IOT249" s="22"/>
      <c r="IOU249" s="22"/>
      <c r="IOV249" s="22"/>
      <c r="IOW249" s="22"/>
      <c r="IOX249" s="22"/>
      <c r="IOY249" s="22"/>
      <c r="IOZ249" s="22"/>
      <c r="IPA249" s="22"/>
      <c r="IPB249" s="22"/>
      <c r="IPC249" s="22"/>
      <c r="IPD249" s="22"/>
      <c r="IPE249" s="22"/>
      <c r="IPF249" s="22"/>
      <c r="IPG249" s="22"/>
      <c r="IPH249" s="22"/>
      <c r="IPI249" s="22"/>
      <c r="IPJ249" s="22"/>
      <c r="IPK249" s="22"/>
      <c r="IPL249" s="22"/>
      <c r="IPM249" s="22"/>
      <c r="IPN249" s="22"/>
      <c r="IPO249" s="22"/>
      <c r="IPP249" s="22"/>
      <c r="IPQ249" s="22"/>
      <c r="IPR249" s="22"/>
      <c r="IPS249" s="22"/>
      <c r="IPT249" s="22"/>
      <c r="IPU249" s="22"/>
      <c r="IPV249" s="22"/>
      <c r="IPW249" s="22"/>
      <c r="IPX249" s="22"/>
      <c r="IPY249" s="22"/>
      <c r="IPZ249" s="22"/>
      <c r="IQA249" s="22"/>
      <c r="IQB249" s="22"/>
      <c r="IQC249" s="22"/>
      <c r="IQD249" s="22"/>
      <c r="IQE249" s="22"/>
      <c r="IQF249" s="22"/>
      <c r="IQG249" s="22"/>
      <c r="IQH249" s="22"/>
      <c r="IQI249" s="22"/>
      <c r="IQJ249" s="22"/>
      <c r="IQK249" s="22"/>
      <c r="IQL249" s="22"/>
      <c r="IQM249" s="22"/>
      <c r="IQN249" s="22"/>
      <c r="IQO249" s="22"/>
      <c r="IQP249" s="22"/>
      <c r="IQQ249" s="22"/>
      <c r="IQR249" s="22"/>
      <c r="IQS249" s="22"/>
      <c r="IQT249" s="22"/>
      <c r="IQU249" s="22"/>
      <c r="IQV249" s="22"/>
      <c r="IQW249" s="22"/>
      <c r="IQX249" s="22"/>
      <c r="IQY249" s="22"/>
      <c r="IQZ249" s="22"/>
      <c r="IRA249" s="22"/>
      <c r="IRB249" s="22"/>
      <c r="IRC249" s="22"/>
      <c r="IRD249" s="22"/>
      <c r="IRE249" s="22"/>
      <c r="IRF249" s="22"/>
      <c r="IRG249" s="22"/>
      <c r="IRH249" s="22"/>
      <c r="IRI249" s="22"/>
      <c r="IRJ249" s="22"/>
      <c r="IRK249" s="22"/>
      <c r="IRL249" s="22"/>
      <c r="IRM249" s="22"/>
      <c r="IRN249" s="22"/>
      <c r="IRO249" s="22"/>
      <c r="IRP249" s="22"/>
      <c r="IRQ249" s="22"/>
      <c r="IRR249" s="22"/>
      <c r="IRS249" s="22"/>
      <c r="IRT249" s="22"/>
      <c r="IRU249" s="22"/>
      <c r="IRV249" s="22"/>
      <c r="IRW249" s="22"/>
      <c r="IRX249" s="22"/>
      <c r="IRY249" s="22"/>
      <c r="IRZ249" s="22"/>
      <c r="ISA249" s="22"/>
      <c r="ISB249" s="22"/>
      <c r="ISC249" s="22"/>
      <c r="ISD249" s="22"/>
      <c r="ISE249" s="22"/>
      <c r="ISF249" s="22"/>
      <c r="ISG249" s="22"/>
      <c r="ISH249" s="22"/>
      <c r="ISI249" s="22"/>
      <c r="ISJ249" s="22"/>
      <c r="ISK249" s="22"/>
      <c r="ISL249" s="22"/>
      <c r="ISM249" s="22"/>
      <c r="ISN249" s="22"/>
      <c r="ISO249" s="22"/>
      <c r="ISP249" s="22"/>
      <c r="ISQ249" s="22"/>
      <c r="ISR249" s="22"/>
      <c r="ISS249" s="22"/>
      <c r="IST249" s="22"/>
      <c r="ISU249" s="22"/>
      <c r="ISV249" s="22"/>
      <c r="ISW249" s="22"/>
      <c r="ISX249" s="22"/>
      <c r="ISY249" s="22"/>
      <c r="ISZ249" s="22"/>
      <c r="ITA249" s="22"/>
      <c r="ITB249" s="22"/>
      <c r="ITC249" s="22"/>
      <c r="ITD249" s="22"/>
      <c r="ITE249" s="22"/>
      <c r="ITF249" s="22"/>
      <c r="ITG249" s="22"/>
      <c r="ITH249" s="22"/>
      <c r="ITI249" s="22"/>
      <c r="ITJ249" s="22"/>
      <c r="ITK249" s="22"/>
      <c r="ITL249" s="22"/>
      <c r="ITM249" s="22"/>
      <c r="ITN249" s="22"/>
      <c r="ITO249" s="22"/>
      <c r="ITP249" s="22"/>
      <c r="ITQ249" s="22"/>
      <c r="ITR249" s="22"/>
      <c r="ITS249" s="22"/>
      <c r="ITT249" s="22"/>
      <c r="ITU249" s="22"/>
      <c r="ITV249" s="22"/>
      <c r="ITW249" s="22"/>
      <c r="ITX249" s="22"/>
      <c r="ITY249" s="22"/>
      <c r="ITZ249" s="22"/>
      <c r="IUA249" s="22"/>
      <c r="IUB249" s="22"/>
      <c r="IUC249" s="22"/>
      <c r="IUD249" s="22"/>
      <c r="IUE249" s="22"/>
      <c r="IUF249" s="22"/>
      <c r="IUG249" s="22"/>
      <c r="IUH249" s="22"/>
      <c r="IUI249" s="22"/>
      <c r="IUJ249" s="22"/>
      <c r="IUK249" s="22"/>
      <c r="IUL249" s="22"/>
      <c r="IUM249" s="22"/>
      <c r="IUN249" s="22"/>
      <c r="IUO249" s="22"/>
      <c r="IUP249" s="22"/>
      <c r="IUQ249" s="22"/>
      <c r="IUR249" s="22"/>
      <c r="IUS249" s="22"/>
      <c r="IUT249" s="22"/>
      <c r="IUU249" s="22"/>
      <c r="IUV249" s="22"/>
      <c r="IUW249" s="22"/>
      <c r="IUX249" s="22"/>
      <c r="IUY249" s="22"/>
      <c r="IUZ249" s="22"/>
      <c r="IVA249" s="22"/>
      <c r="IVB249" s="22"/>
      <c r="IVC249" s="22"/>
      <c r="IVD249" s="22"/>
      <c r="IVE249" s="22"/>
      <c r="IVF249" s="22"/>
      <c r="IVG249" s="22"/>
      <c r="IVH249" s="22"/>
      <c r="IVI249" s="22"/>
      <c r="IVJ249" s="22"/>
      <c r="IVK249" s="22"/>
      <c r="IVL249" s="22"/>
      <c r="IVM249" s="22"/>
      <c r="IVN249" s="22"/>
      <c r="IVO249" s="22"/>
      <c r="IVP249" s="22"/>
      <c r="IVQ249" s="22"/>
      <c r="IVR249" s="22"/>
      <c r="IVS249" s="22"/>
      <c r="IVT249" s="22"/>
      <c r="IVU249" s="22"/>
      <c r="IVV249" s="22"/>
      <c r="IVW249" s="22"/>
      <c r="IVX249" s="22"/>
      <c r="IVY249" s="22"/>
      <c r="IVZ249" s="22"/>
      <c r="IWA249" s="22"/>
      <c r="IWB249" s="22"/>
      <c r="IWC249" s="22"/>
      <c r="IWD249" s="22"/>
      <c r="IWE249" s="22"/>
      <c r="IWF249" s="22"/>
      <c r="IWG249" s="22"/>
      <c r="IWH249" s="22"/>
      <c r="IWI249" s="22"/>
      <c r="IWJ249" s="22"/>
      <c r="IWK249" s="22"/>
      <c r="IWL249" s="22"/>
      <c r="IWM249" s="22"/>
      <c r="IWN249" s="22"/>
      <c r="IWO249" s="22"/>
      <c r="IWP249" s="22"/>
      <c r="IWQ249" s="22"/>
      <c r="IWR249" s="22"/>
      <c r="IWS249" s="22"/>
      <c r="IWT249" s="22"/>
      <c r="IWU249" s="22"/>
      <c r="IWV249" s="22"/>
      <c r="IWW249" s="22"/>
      <c r="IWX249" s="22"/>
      <c r="IWY249" s="22"/>
      <c r="IWZ249" s="22"/>
      <c r="IXA249" s="22"/>
      <c r="IXB249" s="22"/>
      <c r="IXC249" s="22"/>
      <c r="IXD249" s="22"/>
      <c r="IXE249" s="22"/>
      <c r="IXF249" s="22"/>
      <c r="IXG249" s="22"/>
      <c r="IXH249" s="22"/>
      <c r="IXI249" s="22"/>
      <c r="IXJ249" s="22"/>
      <c r="IXK249" s="22"/>
      <c r="IXL249" s="22"/>
      <c r="IXM249" s="22"/>
      <c r="IXN249" s="22"/>
      <c r="IXO249" s="22"/>
      <c r="IXP249" s="22"/>
      <c r="IXQ249" s="22"/>
      <c r="IXR249" s="22"/>
      <c r="IXS249" s="22"/>
      <c r="IXT249" s="22"/>
      <c r="IXU249" s="22"/>
      <c r="IXV249" s="22"/>
      <c r="IXW249" s="22"/>
      <c r="IXX249" s="22"/>
      <c r="IXY249" s="22"/>
      <c r="IXZ249" s="22"/>
      <c r="IYA249" s="22"/>
      <c r="IYB249" s="22"/>
      <c r="IYC249" s="22"/>
      <c r="IYD249" s="22"/>
      <c r="IYE249" s="22"/>
      <c r="IYF249" s="22"/>
      <c r="IYG249" s="22"/>
      <c r="IYH249" s="22"/>
      <c r="IYI249" s="22"/>
      <c r="IYJ249" s="22"/>
      <c r="IYK249" s="22"/>
      <c r="IYL249" s="22"/>
      <c r="IYM249" s="22"/>
      <c r="IYN249" s="22"/>
      <c r="IYO249" s="22"/>
      <c r="IYP249" s="22"/>
      <c r="IYQ249" s="22"/>
      <c r="IYR249" s="22"/>
      <c r="IYS249" s="22"/>
      <c r="IYT249" s="22"/>
      <c r="IYU249" s="22"/>
      <c r="IYV249" s="22"/>
      <c r="IYW249" s="22"/>
      <c r="IYX249" s="22"/>
      <c r="IYY249" s="22"/>
      <c r="IYZ249" s="22"/>
      <c r="IZA249" s="22"/>
      <c r="IZB249" s="22"/>
      <c r="IZC249" s="22"/>
      <c r="IZD249" s="22"/>
      <c r="IZE249" s="22"/>
      <c r="IZF249" s="22"/>
      <c r="IZG249" s="22"/>
      <c r="IZH249" s="22"/>
      <c r="IZI249" s="22"/>
      <c r="IZJ249" s="22"/>
      <c r="IZK249" s="22"/>
      <c r="IZL249" s="22"/>
      <c r="IZM249" s="22"/>
      <c r="IZN249" s="22"/>
      <c r="IZO249" s="22"/>
      <c r="IZP249" s="22"/>
      <c r="IZQ249" s="22"/>
      <c r="IZR249" s="22"/>
      <c r="IZS249" s="22"/>
      <c r="IZT249" s="22"/>
      <c r="IZU249" s="22"/>
      <c r="IZV249" s="22"/>
      <c r="IZW249" s="22"/>
      <c r="IZX249" s="22"/>
      <c r="IZY249" s="22"/>
      <c r="IZZ249" s="22"/>
      <c r="JAA249" s="22"/>
      <c r="JAB249" s="22"/>
      <c r="JAC249" s="22"/>
      <c r="JAD249" s="22"/>
      <c r="JAE249" s="22"/>
      <c r="JAF249" s="22"/>
      <c r="JAG249" s="22"/>
      <c r="JAH249" s="22"/>
      <c r="JAI249" s="22"/>
      <c r="JAJ249" s="22"/>
      <c r="JAK249" s="22"/>
      <c r="JAL249" s="22"/>
      <c r="JAM249" s="22"/>
      <c r="JAN249" s="22"/>
      <c r="JAO249" s="22"/>
      <c r="JAP249" s="22"/>
      <c r="JAQ249" s="22"/>
      <c r="JAR249" s="22"/>
      <c r="JAS249" s="22"/>
      <c r="JAT249" s="22"/>
      <c r="JAU249" s="22"/>
      <c r="JAV249" s="22"/>
      <c r="JAW249" s="22"/>
      <c r="JAX249" s="22"/>
      <c r="JAY249" s="22"/>
      <c r="JAZ249" s="22"/>
      <c r="JBA249" s="22"/>
      <c r="JBB249" s="22"/>
      <c r="JBC249" s="22"/>
      <c r="JBD249" s="22"/>
      <c r="JBE249" s="22"/>
      <c r="JBF249" s="22"/>
      <c r="JBG249" s="22"/>
      <c r="JBH249" s="22"/>
      <c r="JBI249" s="22"/>
      <c r="JBJ249" s="22"/>
      <c r="JBK249" s="22"/>
      <c r="JBL249" s="22"/>
      <c r="JBM249" s="22"/>
      <c r="JBN249" s="22"/>
      <c r="JBO249" s="22"/>
      <c r="JBP249" s="22"/>
      <c r="JBQ249" s="22"/>
      <c r="JBR249" s="22"/>
      <c r="JBS249" s="22"/>
      <c r="JBT249" s="22"/>
      <c r="JBU249" s="22"/>
      <c r="JBV249" s="22"/>
      <c r="JBW249" s="22"/>
      <c r="JBX249" s="22"/>
      <c r="JBY249" s="22"/>
      <c r="JBZ249" s="22"/>
      <c r="JCA249" s="22"/>
      <c r="JCB249" s="22"/>
      <c r="JCC249" s="22"/>
      <c r="JCD249" s="22"/>
      <c r="JCE249" s="22"/>
      <c r="JCF249" s="22"/>
      <c r="JCG249" s="22"/>
      <c r="JCH249" s="22"/>
      <c r="JCI249" s="22"/>
      <c r="JCJ249" s="22"/>
      <c r="JCK249" s="22"/>
      <c r="JCL249" s="22"/>
      <c r="JCM249" s="22"/>
      <c r="JCN249" s="22"/>
      <c r="JCO249" s="22"/>
      <c r="JCP249" s="22"/>
      <c r="JCQ249" s="22"/>
      <c r="JCR249" s="22"/>
      <c r="JCS249" s="22"/>
      <c r="JCT249" s="22"/>
      <c r="JCU249" s="22"/>
      <c r="JCV249" s="22"/>
      <c r="JCW249" s="22"/>
      <c r="JCX249" s="22"/>
      <c r="JCY249" s="22"/>
      <c r="JCZ249" s="22"/>
      <c r="JDA249" s="22"/>
      <c r="JDB249" s="22"/>
      <c r="JDC249" s="22"/>
      <c r="JDD249" s="22"/>
      <c r="JDE249" s="22"/>
      <c r="JDF249" s="22"/>
      <c r="JDG249" s="22"/>
      <c r="JDH249" s="22"/>
      <c r="JDI249" s="22"/>
      <c r="JDJ249" s="22"/>
      <c r="JDK249" s="22"/>
      <c r="JDL249" s="22"/>
      <c r="JDM249" s="22"/>
      <c r="JDN249" s="22"/>
      <c r="JDO249" s="22"/>
      <c r="JDP249" s="22"/>
      <c r="JDQ249" s="22"/>
      <c r="JDR249" s="22"/>
      <c r="JDS249" s="22"/>
      <c r="JDT249" s="22"/>
      <c r="JDU249" s="22"/>
      <c r="JDV249" s="22"/>
      <c r="JDW249" s="22"/>
      <c r="JDX249" s="22"/>
      <c r="JDY249" s="22"/>
      <c r="JDZ249" s="22"/>
      <c r="JEA249" s="22"/>
      <c r="JEB249" s="22"/>
      <c r="JEC249" s="22"/>
      <c r="JED249" s="22"/>
      <c r="JEE249" s="22"/>
      <c r="JEF249" s="22"/>
      <c r="JEG249" s="22"/>
      <c r="JEH249" s="22"/>
      <c r="JEI249" s="22"/>
      <c r="JEJ249" s="22"/>
      <c r="JEK249" s="22"/>
      <c r="JEL249" s="22"/>
      <c r="JEM249" s="22"/>
      <c r="JEN249" s="22"/>
      <c r="JEO249" s="22"/>
      <c r="JEP249" s="22"/>
      <c r="JEQ249" s="22"/>
      <c r="JER249" s="22"/>
      <c r="JES249" s="22"/>
      <c r="JET249" s="22"/>
      <c r="JEU249" s="22"/>
      <c r="JEV249" s="22"/>
      <c r="JEW249" s="22"/>
      <c r="JEX249" s="22"/>
      <c r="JEY249" s="22"/>
      <c r="JEZ249" s="22"/>
      <c r="JFA249" s="22"/>
      <c r="JFB249" s="22"/>
      <c r="JFC249" s="22"/>
      <c r="JFD249" s="22"/>
      <c r="JFE249" s="22"/>
      <c r="JFF249" s="22"/>
      <c r="JFG249" s="22"/>
      <c r="JFH249" s="22"/>
      <c r="JFI249" s="22"/>
      <c r="JFJ249" s="22"/>
      <c r="JFK249" s="22"/>
      <c r="JFL249" s="22"/>
      <c r="JFM249" s="22"/>
      <c r="JFN249" s="22"/>
      <c r="JFO249" s="22"/>
      <c r="JFP249" s="22"/>
      <c r="JFQ249" s="22"/>
      <c r="JFR249" s="22"/>
      <c r="JFS249" s="22"/>
      <c r="JFT249" s="22"/>
      <c r="JFU249" s="22"/>
      <c r="JFV249" s="22"/>
      <c r="JFW249" s="22"/>
      <c r="JFX249" s="22"/>
      <c r="JFY249" s="22"/>
      <c r="JFZ249" s="22"/>
      <c r="JGA249" s="22"/>
      <c r="JGB249" s="22"/>
      <c r="JGC249" s="22"/>
      <c r="JGD249" s="22"/>
      <c r="JGE249" s="22"/>
      <c r="JGF249" s="22"/>
      <c r="JGG249" s="22"/>
      <c r="JGH249" s="22"/>
      <c r="JGI249" s="22"/>
      <c r="JGJ249" s="22"/>
      <c r="JGK249" s="22"/>
      <c r="JGL249" s="22"/>
      <c r="JGM249" s="22"/>
      <c r="JGN249" s="22"/>
      <c r="JGO249" s="22"/>
      <c r="JGP249" s="22"/>
      <c r="JGQ249" s="22"/>
      <c r="JGR249" s="22"/>
      <c r="JGS249" s="22"/>
      <c r="JGT249" s="22"/>
      <c r="JGU249" s="22"/>
      <c r="JGV249" s="22"/>
      <c r="JGW249" s="22"/>
      <c r="JGX249" s="22"/>
      <c r="JGY249" s="22"/>
      <c r="JGZ249" s="22"/>
      <c r="JHA249" s="22"/>
      <c r="JHB249" s="22"/>
      <c r="JHC249" s="22"/>
      <c r="JHD249" s="22"/>
      <c r="JHE249" s="22"/>
      <c r="JHF249" s="22"/>
      <c r="JHG249" s="22"/>
      <c r="JHH249" s="22"/>
      <c r="JHI249" s="22"/>
      <c r="JHJ249" s="22"/>
      <c r="JHK249" s="22"/>
      <c r="JHL249" s="22"/>
      <c r="JHM249" s="22"/>
      <c r="JHN249" s="22"/>
      <c r="JHO249" s="22"/>
      <c r="JHP249" s="22"/>
      <c r="JHQ249" s="22"/>
      <c r="JHR249" s="22"/>
      <c r="JHS249" s="22"/>
      <c r="JHT249" s="22"/>
      <c r="JHU249" s="22"/>
      <c r="JHV249" s="22"/>
      <c r="JHW249" s="22"/>
      <c r="JHX249" s="22"/>
      <c r="JHY249" s="22"/>
      <c r="JHZ249" s="22"/>
      <c r="JIA249" s="22"/>
      <c r="JIB249" s="22"/>
      <c r="JIC249" s="22"/>
      <c r="JID249" s="22"/>
      <c r="JIE249" s="22"/>
      <c r="JIF249" s="22"/>
      <c r="JIG249" s="22"/>
      <c r="JIH249" s="22"/>
      <c r="JII249" s="22"/>
      <c r="JIJ249" s="22"/>
      <c r="JIK249" s="22"/>
      <c r="JIL249" s="22"/>
      <c r="JIM249" s="22"/>
      <c r="JIN249" s="22"/>
      <c r="JIO249" s="22"/>
      <c r="JIP249" s="22"/>
      <c r="JIQ249" s="22"/>
      <c r="JIR249" s="22"/>
      <c r="JIS249" s="22"/>
      <c r="JIT249" s="22"/>
      <c r="JIU249" s="22"/>
      <c r="JIV249" s="22"/>
      <c r="JIW249" s="22"/>
      <c r="JIX249" s="22"/>
      <c r="JIY249" s="22"/>
      <c r="JIZ249" s="22"/>
      <c r="JJA249" s="22"/>
      <c r="JJB249" s="22"/>
      <c r="JJC249" s="22"/>
      <c r="JJD249" s="22"/>
      <c r="JJE249" s="22"/>
      <c r="JJF249" s="22"/>
      <c r="JJG249" s="22"/>
      <c r="JJH249" s="22"/>
      <c r="JJI249" s="22"/>
      <c r="JJJ249" s="22"/>
      <c r="JJK249" s="22"/>
      <c r="JJL249" s="22"/>
      <c r="JJM249" s="22"/>
      <c r="JJN249" s="22"/>
      <c r="JJO249" s="22"/>
      <c r="JJP249" s="22"/>
      <c r="JJQ249" s="22"/>
      <c r="JJR249" s="22"/>
      <c r="JJS249" s="22"/>
      <c r="JJT249" s="22"/>
      <c r="JJU249" s="22"/>
      <c r="JJV249" s="22"/>
      <c r="JJW249" s="22"/>
      <c r="JJX249" s="22"/>
      <c r="JJY249" s="22"/>
      <c r="JJZ249" s="22"/>
      <c r="JKA249" s="22"/>
      <c r="JKB249" s="22"/>
      <c r="JKC249" s="22"/>
      <c r="JKD249" s="22"/>
      <c r="JKE249" s="22"/>
      <c r="JKF249" s="22"/>
      <c r="JKG249" s="22"/>
      <c r="JKH249" s="22"/>
      <c r="JKI249" s="22"/>
      <c r="JKJ249" s="22"/>
      <c r="JKK249" s="22"/>
      <c r="JKL249" s="22"/>
      <c r="JKM249" s="22"/>
      <c r="JKN249" s="22"/>
      <c r="JKO249" s="22"/>
      <c r="JKP249" s="22"/>
      <c r="JKQ249" s="22"/>
      <c r="JKR249" s="22"/>
      <c r="JKS249" s="22"/>
      <c r="JKT249" s="22"/>
      <c r="JKU249" s="22"/>
      <c r="JKV249" s="22"/>
      <c r="JKW249" s="22"/>
      <c r="JKX249" s="22"/>
      <c r="JKY249" s="22"/>
      <c r="JKZ249" s="22"/>
      <c r="JLA249" s="22"/>
      <c r="JLB249" s="22"/>
      <c r="JLC249" s="22"/>
      <c r="JLD249" s="22"/>
      <c r="JLE249" s="22"/>
      <c r="JLF249" s="22"/>
      <c r="JLG249" s="22"/>
      <c r="JLH249" s="22"/>
      <c r="JLI249" s="22"/>
      <c r="JLJ249" s="22"/>
      <c r="JLK249" s="22"/>
      <c r="JLL249" s="22"/>
      <c r="JLM249" s="22"/>
      <c r="JLN249" s="22"/>
      <c r="JLO249" s="22"/>
      <c r="JLP249" s="22"/>
      <c r="JLQ249" s="22"/>
      <c r="JLR249" s="22"/>
      <c r="JLS249" s="22"/>
      <c r="JLT249" s="22"/>
      <c r="JLU249" s="22"/>
      <c r="JLV249" s="22"/>
      <c r="JLW249" s="22"/>
      <c r="JLX249" s="22"/>
      <c r="JLY249" s="22"/>
      <c r="JLZ249" s="22"/>
      <c r="JMA249" s="22"/>
      <c r="JMB249" s="22"/>
      <c r="JMC249" s="22"/>
      <c r="JMD249" s="22"/>
      <c r="JME249" s="22"/>
      <c r="JMF249" s="22"/>
      <c r="JMG249" s="22"/>
      <c r="JMH249" s="22"/>
      <c r="JMI249" s="22"/>
      <c r="JMJ249" s="22"/>
      <c r="JMK249" s="22"/>
      <c r="JML249" s="22"/>
      <c r="JMM249" s="22"/>
      <c r="JMN249" s="22"/>
      <c r="JMO249" s="22"/>
      <c r="JMP249" s="22"/>
      <c r="JMQ249" s="22"/>
      <c r="JMR249" s="22"/>
      <c r="JMS249" s="22"/>
      <c r="JMT249" s="22"/>
      <c r="JMU249" s="22"/>
      <c r="JMV249" s="22"/>
      <c r="JMW249" s="22"/>
      <c r="JMX249" s="22"/>
      <c r="JMY249" s="22"/>
      <c r="JMZ249" s="22"/>
      <c r="JNA249" s="22"/>
      <c r="JNB249" s="22"/>
      <c r="JNC249" s="22"/>
      <c r="JND249" s="22"/>
      <c r="JNE249" s="22"/>
      <c r="JNF249" s="22"/>
      <c r="JNG249" s="22"/>
      <c r="JNH249" s="22"/>
      <c r="JNI249" s="22"/>
      <c r="JNJ249" s="22"/>
      <c r="JNK249" s="22"/>
      <c r="JNL249" s="22"/>
      <c r="JNM249" s="22"/>
      <c r="JNN249" s="22"/>
      <c r="JNO249" s="22"/>
      <c r="JNP249" s="22"/>
      <c r="JNQ249" s="22"/>
      <c r="JNR249" s="22"/>
      <c r="JNS249" s="22"/>
      <c r="JNT249" s="22"/>
      <c r="JNU249" s="22"/>
      <c r="JNV249" s="22"/>
      <c r="JNW249" s="22"/>
      <c r="JNX249" s="22"/>
      <c r="JNY249" s="22"/>
      <c r="JNZ249" s="22"/>
      <c r="JOA249" s="22"/>
      <c r="JOB249" s="22"/>
      <c r="JOC249" s="22"/>
      <c r="JOD249" s="22"/>
      <c r="JOE249" s="22"/>
      <c r="JOF249" s="22"/>
      <c r="JOG249" s="22"/>
      <c r="JOH249" s="22"/>
      <c r="JOI249" s="22"/>
      <c r="JOJ249" s="22"/>
      <c r="JOK249" s="22"/>
      <c r="JOL249" s="22"/>
      <c r="JOM249" s="22"/>
      <c r="JON249" s="22"/>
      <c r="JOO249" s="22"/>
      <c r="JOP249" s="22"/>
      <c r="JOQ249" s="22"/>
      <c r="JOR249" s="22"/>
      <c r="JOS249" s="22"/>
      <c r="JOT249" s="22"/>
      <c r="JOU249" s="22"/>
      <c r="JOV249" s="22"/>
      <c r="JOW249" s="22"/>
      <c r="JOX249" s="22"/>
      <c r="JOY249" s="22"/>
      <c r="JOZ249" s="22"/>
      <c r="JPA249" s="22"/>
      <c r="JPB249" s="22"/>
      <c r="JPC249" s="22"/>
      <c r="JPD249" s="22"/>
      <c r="JPE249" s="22"/>
      <c r="JPF249" s="22"/>
      <c r="JPG249" s="22"/>
      <c r="JPH249" s="22"/>
      <c r="JPI249" s="22"/>
      <c r="JPJ249" s="22"/>
      <c r="JPK249" s="22"/>
      <c r="JPL249" s="22"/>
      <c r="JPM249" s="22"/>
      <c r="JPN249" s="22"/>
      <c r="JPO249" s="22"/>
      <c r="JPP249" s="22"/>
      <c r="JPQ249" s="22"/>
      <c r="JPR249" s="22"/>
      <c r="JPS249" s="22"/>
      <c r="JPT249" s="22"/>
      <c r="JPU249" s="22"/>
      <c r="JPV249" s="22"/>
      <c r="JPW249" s="22"/>
      <c r="JPX249" s="22"/>
      <c r="JPY249" s="22"/>
      <c r="JPZ249" s="22"/>
      <c r="JQA249" s="22"/>
      <c r="JQB249" s="22"/>
      <c r="JQC249" s="22"/>
      <c r="JQD249" s="22"/>
      <c r="JQE249" s="22"/>
      <c r="JQF249" s="22"/>
      <c r="JQG249" s="22"/>
      <c r="JQH249" s="22"/>
      <c r="JQI249" s="22"/>
      <c r="JQJ249" s="22"/>
      <c r="JQK249" s="22"/>
      <c r="JQL249" s="22"/>
      <c r="JQM249" s="22"/>
      <c r="JQN249" s="22"/>
      <c r="JQO249" s="22"/>
      <c r="JQP249" s="22"/>
      <c r="JQQ249" s="22"/>
      <c r="JQR249" s="22"/>
      <c r="JQS249" s="22"/>
      <c r="JQT249" s="22"/>
      <c r="JQU249" s="22"/>
      <c r="JQV249" s="22"/>
      <c r="JQW249" s="22"/>
      <c r="JQX249" s="22"/>
      <c r="JQY249" s="22"/>
      <c r="JQZ249" s="22"/>
      <c r="JRA249" s="22"/>
      <c r="JRB249" s="22"/>
      <c r="JRC249" s="22"/>
      <c r="JRD249" s="22"/>
      <c r="JRE249" s="22"/>
      <c r="JRF249" s="22"/>
      <c r="JRG249" s="22"/>
      <c r="JRH249" s="22"/>
      <c r="JRI249" s="22"/>
      <c r="JRJ249" s="22"/>
      <c r="JRK249" s="22"/>
      <c r="JRL249" s="22"/>
      <c r="JRM249" s="22"/>
      <c r="JRN249" s="22"/>
      <c r="JRO249" s="22"/>
      <c r="JRP249" s="22"/>
      <c r="JRQ249" s="22"/>
      <c r="JRR249" s="22"/>
      <c r="JRS249" s="22"/>
      <c r="JRT249" s="22"/>
      <c r="JRU249" s="22"/>
      <c r="JRV249" s="22"/>
      <c r="JRW249" s="22"/>
      <c r="JRX249" s="22"/>
      <c r="JRY249" s="22"/>
      <c r="JRZ249" s="22"/>
      <c r="JSA249" s="22"/>
      <c r="JSB249" s="22"/>
      <c r="JSC249" s="22"/>
      <c r="JSD249" s="22"/>
      <c r="JSE249" s="22"/>
      <c r="JSF249" s="22"/>
      <c r="JSG249" s="22"/>
      <c r="JSH249" s="22"/>
      <c r="JSI249" s="22"/>
      <c r="JSJ249" s="22"/>
      <c r="JSK249" s="22"/>
      <c r="JSL249" s="22"/>
      <c r="JSM249" s="22"/>
      <c r="JSN249" s="22"/>
      <c r="JSO249" s="22"/>
      <c r="JSP249" s="22"/>
      <c r="JSQ249" s="22"/>
      <c r="JSR249" s="22"/>
      <c r="JSS249" s="22"/>
      <c r="JST249" s="22"/>
      <c r="JSU249" s="22"/>
      <c r="JSV249" s="22"/>
      <c r="JSW249" s="22"/>
      <c r="JSX249" s="22"/>
      <c r="JSY249" s="22"/>
      <c r="JSZ249" s="22"/>
      <c r="JTA249" s="22"/>
      <c r="JTB249" s="22"/>
      <c r="JTC249" s="22"/>
      <c r="JTD249" s="22"/>
      <c r="JTE249" s="22"/>
      <c r="JTF249" s="22"/>
      <c r="JTG249" s="22"/>
      <c r="JTH249" s="22"/>
      <c r="JTI249" s="22"/>
      <c r="JTJ249" s="22"/>
      <c r="JTK249" s="22"/>
      <c r="JTL249" s="22"/>
      <c r="JTM249" s="22"/>
      <c r="JTN249" s="22"/>
      <c r="JTO249" s="22"/>
      <c r="JTP249" s="22"/>
      <c r="JTQ249" s="22"/>
      <c r="JTR249" s="22"/>
      <c r="JTS249" s="22"/>
      <c r="JTT249" s="22"/>
      <c r="JTU249" s="22"/>
      <c r="JTV249" s="22"/>
      <c r="JTW249" s="22"/>
      <c r="JTX249" s="22"/>
      <c r="JTY249" s="22"/>
      <c r="JTZ249" s="22"/>
      <c r="JUA249" s="22"/>
      <c r="JUB249" s="22"/>
      <c r="JUC249" s="22"/>
      <c r="JUD249" s="22"/>
      <c r="JUE249" s="22"/>
      <c r="JUF249" s="22"/>
      <c r="JUG249" s="22"/>
      <c r="JUH249" s="22"/>
      <c r="JUI249" s="22"/>
      <c r="JUJ249" s="22"/>
      <c r="JUK249" s="22"/>
      <c r="JUL249" s="22"/>
      <c r="JUM249" s="22"/>
      <c r="JUN249" s="22"/>
      <c r="JUO249" s="22"/>
      <c r="JUP249" s="22"/>
      <c r="JUQ249" s="22"/>
      <c r="JUR249" s="22"/>
      <c r="JUS249" s="22"/>
      <c r="JUT249" s="22"/>
      <c r="JUU249" s="22"/>
      <c r="JUV249" s="22"/>
      <c r="JUW249" s="22"/>
      <c r="JUX249" s="22"/>
      <c r="JUY249" s="22"/>
      <c r="JUZ249" s="22"/>
      <c r="JVA249" s="22"/>
      <c r="JVB249" s="22"/>
      <c r="JVC249" s="22"/>
      <c r="JVD249" s="22"/>
      <c r="JVE249" s="22"/>
      <c r="JVF249" s="22"/>
      <c r="JVG249" s="22"/>
      <c r="JVH249" s="22"/>
      <c r="JVI249" s="22"/>
      <c r="JVJ249" s="22"/>
      <c r="JVK249" s="22"/>
      <c r="JVL249" s="22"/>
      <c r="JVM249" s="22"/>
      <c r="JVN249" s="22"/>
      <c r="JVO249" s="22"/>
      <c r="JVP249" s="22"/>
      <c r="JVQ249" s="22"/>
      <c r="JVR249" s="22"/>
      <c r="JVS249" s="22"/>
      <c r="JVT249" s="22"/>
      <c r="JVU249" s="22"/>
      <c r="JVV249" s="22"/>
      <c r="JVW249" s="22"/>
      <c r="JVX249" s="22"/>
      <c r="JVY249" s="22"/>
      <c r="JVZ249" s="22"/>
      <c r="JWA249" s="22"/>
      <c r="JWB249" s="22"/>
      <c r="JWC249" s="22"/>
      <c r="JWD249" s="22"/>
      <c r="JWE249" s="22"/>
      <c r="JWF249" s="22"/>
      <c r="JWG249" s="22"/>
      <c r="JWH249" s="22"/>
      <c r="JWI249" s="22"/>
      <c r="JWJ249" s="22"/>
      <c r="JWK249" s="22"/>
      <c r="JWL249" s="22"/>
      <c r="JWM249" s="22"/>
      <c r="JWN249" s="22"/>
      <c r="JWO249" s="22"/>
      <c r="JWP249" s="22"/>
      <c r="JWQ249" s="22"/>
      <c r="JWR249" s="22"/>
      <c r="JWS249" s="22"/>
      <c r="JWT249" s="22"/>
      <c r="JWU249" s="22"/>
      <c r="JWV249" s="22"/>
      <c r="JWW249" s="22"/>
      <c r="JWX249" s="22"/>
      <c r="JWY249" s="22"/>
      <c r="JWZ249" s="22"/>
      <c r="JXA249" s="22"/>
      <c r="JXB249" s="22"/>
      <c r="JXC249" s="22"/>
      <c r="JXD249" s="22"/>
      <c r="JXE249" s="22"/>
      <c r="JXF249" s="22"/>
      <c r="JXG249" s="22"/>
      <c r="JXH249" s="22"/>
      <c r="JXI249" s="22"/>
      <c r="JXJ249" s="22"/>
      <c r="JXK249" s="22"/>
      <c r="JXL249" s="22"/>
      <c r="JXM249" s="22"/>
      <c r="JXN249" s="22"/>
      <c r="JXO249" s="22"/>
      <c r="JXP249" s="22"/>
      <c r="JXQ249" s="22"/>
      <c r="JXR249" s="22"/>
      <c r="JXS249" s="22"/>
      <c r="JXT249" s="22"/>
      <c r="JXU249" s="22"/>
      <c r="JXV249" s="22"/>
      <c r="JXW249" s="22"/>
      <c r="JXX249" s="22"/>
      <c r="JXY249" s="22"/>
      <c r="JXZ249" s="22"/>
      <c r="JYA249" s="22"/>
      <c r="JYB249" s="22"/>
      <c r="JYC249" s="22"/>
      <c r="JYD249" s="22"/>
      <c r="JYE249" s="22"/>
      <c r="JYF249" s="22"/>
      <c r="JYG249" s="22"/>
      <c r="JYH249" s="22"/>
      <c r="JYI249" s="22"/>
      <c r="JYJ249" s="22"/>
      <c r="JYK249" s="22"/>
      <c r="JYL249" s="22"/>
      <c r="JYM249" s="22"/>
      <c r="JYN249" s="22"/>
      <c r="JYO249" s="22"/>
      <c r="JYP249" s="22"/>
      <c r="JYQ249" s="22"/>
      <c r="JYR249" s="22"/>
      <c r="JYS249" s="22"/>
      <c r="JYT249" s="22"/>
      <c r="JYU249" s="22"/>
      <c r="JYV249" s="22"/>
      <c r="JYW249" s="22"/>
      <c r="JYX249" s="22"/>
      <c r="JYY249" s="22"/>
      <c r="JYZ249" s="22"/>
      <c r="JZA249" s="22"/>
      <c r="JZB249" s="22"/>
      <c r="JZC249" s="22"/>
      <c r="JZD249" s="22"/>
      <c r="JZE249" s="22"/>
      <c r="JZF249" s="22"/>
      <c r="JZG249" s="22"/>
      <c r="JZH249" s="22"/>
      <c r="JZI249" s="22"/>
      <c r="JZJ249" s="22"/>
      <c r="JZK249" s="22"/>
      <c r="JZL249" s="22"/>
      <c r="JZM249" s="22"/>
      <c r="JZN249" s="22"/>
      <c r="JZO249" s="22"/>
      <c r="JZP249" s="22"/>
      <c r="JZQ249" s="22"/>
      <c r="JZR249" s="22"/>
      <c r="JZS249" s="22"/>
      <c r="JZT249" s="22"/>
      <c r="JZU249" s="22"/>
      <c r="JZV249" s="22"/>
      <c r="JZW249" s="22"/>
      <c r="JZX249" s="22"/>
      <c r="JZY249" s="22"/>
      <c r="JZZ249" s="22"/>
      <c r="KAA249" s="22"/>
      <c r="KAB249" s="22"/>
      <c r="KAC249" s="22"/>
      <c r="KAD249" s="22"/>
      <c r="KAE249" s="22"/>
      <c r="KAF249" s="22"/>
      <c r="KAG249" s="22"/>
      <c r="KAH249" s="22"/>
      <c r="KAI249" s="22"/>
      <c r="KAJ249" s="22"/>
      <c r="KAK249" s="22"/>
      <c r="KAL249" s="22"/>
      <c r="KAM249" s="22"/>
      <c r="KAN249" s="22"/>
      <c r="KAO249" s="22"/>
      <c r="KAP249" s="22"/>
      <c r="KAQ249" s="22"/>
      <c r="KAR249" s="22"/>
      <c r="KAS249" s="22"/>
      <c r="KAT249" s="22"/>
      <c r="KAU249" s="22"/>
      <c r="KAV249" s="22"/>
      <c r="KAW249" s="22"/>
      <c r="KAX249" s="22"/>
      <c r="KAY249" s="22"/>
      <c r="KAZ249" s="22"/>
      <c r="KBA249" s="22"/>
      <c r="KBB249" s="22"/>
      <c r="KBC249" s="22"/>
      <c r="KBD249" s="22"/>
      <c r="KBE249" s="22"/>
      <c r="KBF249" s="22"/>
      <c r="KBG249" s="22"/>
      <c r="KBH249" s="22"/>
      <c r="KBI249" s="22"/>
      <c r="KBJ249" s="22"/>
      <c r="KBK249" s="22"/>
      <c r="KBL249" s="22"/>
      <c r="KBM249" s="22"/>
      <c r="KBN249" s="22"/>
      <c r="KBO249" s="22"/>
      <c r="KBP249" s="22"/>
      <c r="KBQ249" s="22"/>
      <c r="KBR249" s="22"/>
      <c r="KBS249" s="22"/>
      <c r="KBT249" s="22"/>
      <c r="KBU249" s="22"/>
      <c r="KBV249" s="22"/>
      <c r="KBW249" s="22"/>
      <c r="KBX249" s="22"/>
      <c r="KBY249" s="22"/>
      <c r="KBZ249" s="22"/>
      <c r="KCA249" s="22"/>
      <c r="KCB249" s="22"/>
      <c r="KCC249" s="22"/>
      <c r="KCD249" s="22"/>
      <c r="KCE249" s="22"/>
      <c r="KCF249" s="22"/>
      <c r="KCG249" s="22"/>
      <c r="KCH249" s="22"/>
      <c r="KCI249" s="22"/>
      <c r="KCJ249" s="22"/>
      <c r="KCK249" s="22"/>
      <c r="KCL249" s="22"/>
      <c r="KCM249" s="22"/>
      <c r="KCN249" s="22"/>
      <c r="KCO249" s="22"/>
      <c r="KCP249" s="22"/>
      <c r="KCQ249" s="22"/>
      <c r="KCR249" s="22"/>
      <c r="KCS249" s="22"/>
      <c r="KCT249" s="22"/>
      <c r="KCU249" s="22"/>
      <c r="KCV249" s="22"/>
      <c r="KCW249" s="22"/>
      <c r="KCX249" s="22"/>
      <c r="KCY249" s="22"/>
      <c r="KCZ249" s="22"/>
      <c r="KDA249" s="22"/>
      <c r="KDB249" s="22"/>
      <c r="KDC249" s="22"/>
      <c r="KDD249" s="22"/>
      <c r="KDE249" s="22"/>
      <c r="KDF249" s="22"/>
      <c r="KDG249" s="22"/>
      <c r="KDH249" s="22"/>
      <c r="KDI249" s="22"/>
      <c r="KDJ249" s="22"/>
      <c r="KDK249" s="22"/>
      <c r="KDL249" s="22"/>
      <c r="KDM249" s="22"/>
      <c r="KDN249" s="22"/>
      <c r="KDO249" s="22"/>
      <c r="KDP249" s="22"/>
      <c r="KDQ249" s="22"/>
      <c r="KDR249" s="22"/>
      <c r="KDS249" s="22"/>
      <c r="KDT249" s="22"/>
      <c r="KDU249" s="22"/>
      <c r="KDV249" s="22"/>
      <c r="KDW249" s="22"/>
      <c r="KDX249" s="22"/>
      <c r="KDY249" s="22"/>
      <c r="KDZ249" s="22"/>
      <c r="KEA249" s="22"/>
      <c r="KEB249" s="22"/>
      <c r="KEC249" s="22"/>
      <c r="KED249" s="22"/>
      <c r="KEE249" s="22"/>
      <c r="KEF249" s="22"/>
      <c r="KEG249" s="22"/>
      <c r="KEH249" s="22"/>
      <c r="KEI249" s="22"/>
      <c r="KEJ249" s="22"/>
      <c r="KEK249" s="22"/>
      <c r="KEL249" s="22"/>
      <c r="KEM249" s="22"/>
      <c r="KEN249" s="22"/>
      <c r="KEO249" s="22"/>
      <c r="KEP249" s="22"/>
      <c r="KEQ249" s="22"/>
      <c r="KER249" s="22"/>
      <c r="KES249" s="22"/>
      <c r="KET249" s="22"/>
      <c r="KEU249" s="22"/>
      <c r="KEV249" s="22"/>
      <c r="KEW249" s="22"/>
      <c r="KEX249" s="22"/>
      <c r="KEY249" s="22"/>
      <c r="KEZ249" s="22"/>
      <c r="KFA249" s="22"/>
      <c r="KFB249" s="22"/>
      <c r="KFC249" s="22"/>
      <c r="KFD249" s="22"/>
      <c r="KFE249" s="22"/>
      <c r="KFF249" s="22"/>
      <c r="KFG249" s="22"/>
      <c r="KFH249" s="22"/>
      <c r="KFI249" s="22"/>
      <c r="KFJ249" s="22"/>
      <c r="KFK249" s="22"/>
      <c r="KFL249" s="22"/>
      <c r="KFM249" s="22"/>
      <c r="KFN249" s="22"/>
      <c r="KFO249" s="22"/>
      <c r="KFP249" s="22"/>
      <c r="KFQ249" s="22"/>
      <c r="KFR249" s="22"/>
      <c r="KFS249" s="22"/>
      <c r="KFT249" s="22"/>
      <c r="KFU249" s="22"/>
      <c r="KFV249" s="22"/>
      <c r="KFW249" s="22"/>
      <c r="KFX249" s="22"/>
      <c r="KFY249" s="22"/>
      <c r="KFZ249" s="22"/>
      <c r="KGA249" s="22"/>
      <c r="KGB249" s="22"/>
      <c r="KGC249" s="22"/>
      <c r="KGD249" s="22"/>
      <c r="KGE249" s="22"/>
      <c r="KGF249" s="22"/>
      <c r="KGG249" s="22"/>
      <c r="KGH249" s="22"/>
      <c r="KGI249" s="22"/>
      <c r="KGJ249" s="22"/>
      <c r="KGK249" s="22"/>
      <c r="KGL249" s="22"/>
      <c r="KGM249" s="22"/>
      <c r="KGN249" s="22"/>
      <c r="KGO249" s="22"/>
      <c r="KGP249" s="22"/>
      <c r="KGQ249" s="22"/>
      <c r="KGR249" s="22"/>
      <c r="KGS249" s="22"/>
      <c r="KGT249" s="22"/>
      <c r="KGU249" s="22"/>
      <c r="KGV249" s="22"/>
      <c r="KGW249" s="22"/>
      <c r="KGX249" s="22"/>
      <c r="KGY249" s="22"/>
      <c r="KGZ249" s="22"/>
      <c r="KHA249" s="22"/>
      <c r="KHB249" s="22"/>
      <c r="KHC249" s="22"/>
      <c r="KHD249" s="22"/>
      <c r="KHE249" s="22"/>
      <c r="KHF249" s="22"/>
      <c r="KHG249" s="22"/>
      <c r="KHH249" s="22"/>
      <c r="KHI249" s="22"/>
      <c r="KHJ249" s="22"/>
      <c r="KHK249" s="22"/>
      <c r="KHL249" s="22"/>
      <c r="KHM249" s="22"/>
      <c r="KHN249" s="22"/>
      <c r="KHO249" s="22"/>
      <c r="KHP249" s="22"/>
      <c r="KHQ249" s="22"/>
      <c r="KHR249" s="22"/>
      <c r="KHS249" s="22"/>
      <c r="KHT249" s="22"/>
      <c r="KHU249" s="22"/>
      <c r="KHV249" s="22"/>
      <c r="KHW249" s="22"/>
      <c r="KHX249" s="22"/>
      <c r="KHY249" s="22"/>
      <c r="KHZ249" s="22"/>
      <c r="KIA249" s="22"/>
      <c r="KIB249" s="22"/>
      <c r="KIC249" s="22"/>
      <c r="KID249" s="22"/>
      <c r="KIE249" s="22"/>
      <c r="KIF249" s="22"/>
      <c r="KIG249" s="22"/>
      <c r="KIH249" s="22"/>
      <c r="KII249" s="22"/>
      <c r="KIJ249" s="22"/>
      <c r="KIK249" s="22"/>
      <c r="KIL249" s="22"/>
      <c r="KIM249" s="22"/>
      <c r="KIN249" s="22"/>
      <c r="KIO249" s="22"/>
      <c r="KIP249" s="22"/>
      <c r="KIQ249" s="22"/>
      <c r="KIR249" s="22"/>
      <c r="KIS249" s="22"/>
      <c r="KIT249" s="22"/>
      <c r="KIU249" s="22"/>
      <c r="KIV249" s="22"/>
      <c r="KIW249" s="22"/>
      <c r="KIX249" s="22"/>
      <c r="KIY249" s="22"/>
      <c r="KIZ249" s="22"/>
      <c r="KJA249" s="22"/>
      <c r="KJB249" s="22"/>
      <c r="KJC249" s="22"/>
      <c r="KJD249" s="22"/>
      <c r="KJE249" s="22"/>
      <c r="KJF249" s="22"/>
      <c r="KJG249" s="22"/>
      <c r="KJH249" s="22"/>
      <c r="KJI249" s="22"/>
      <c r="KJJ249" s="22"/>
      <c r="KJK249" s="22"/>
      <c r="KJL249" s="22"/>
      <c r="KJM249" s="22"/>
      <c r="KJN249" s="22"/>
      <c r="KJO249" s="22"/>
      <c r="KJP249" s="22"/>
      <c r="KJQ249" s="22"/>
      <c r="KJR249" s="22"/>
      <c r="KJS249" s="22"/>
      <c r="KJT249" s="22"/>
      <c r="KJU249" s="22"/>
      <c r="KJV249" s="22"/>
      <c r="KJW249" s="22"/>
      <c r="KJX249" s="22"/>
      <c r="KJY249" s="22"/>
      <c r="KJZ249" s="22"/>
      <c r="KKA249" s="22"/>
      <c r="KKB249" s="22"/>
      <c r="KKC249" s="22"/>
      <c r="KKD249" s="22"/>
      <c r="KKE249" s="22"/>
      <c r="KKF249" s="22"/>
      <c r="KKG249" s="22"/>
      <c r="KKH249" s="22"/>
      <c r="KKI249" s="22"/>
      <c r="KKJ249" s="22"/>
      <c r="KKK249" s="22"/>
      <c r="KKL249" s="22"/>
      <c r="KKM249" s="22"/>
      <c r="KKN249" s="22"/>
      <c r="KKO249" s="22"/>
      <c r="KKP249" s="22"/>
      <c r="KKQ249" s="22"/>
      <c r="KKR249" s="22"/>
      <c r="KKS249" s="22"/>
      <c r="KKT249" s="22"/>
      <c r="KKU249" s="22"/>
      <c r="KKV249" s="22"/>
      <c r="KKW249" s="22"/>
      <c r="KKX249" s="22"/>
      <c r="KKY249" s="22"/>
      <c r="KKZ249" s="22"/>
      <c r="KLA249" s="22"/>
      <c r="KLB249" s="22"/>
      <c r="KLC249" s="22"/>
      <c r="KLD249" s="22"/>
      <c r="KLE249" s="22"/>
      <c r="KLF249" s="22"/>
      <c r="KLG249" s="22"/>
      <c r="KLH249" s="22"/>
      <c r="KLI249" s="22"/>
      <c r="KLJ249" s="22"/>
      <c r="KLK249" s="22"/>
      <c r="KLL249" s="22"/>
      <c r="KLM249" s="22"/>
      <c r="KLN249" s="22"/>
      <c r="KLO249" s="22"/>
      <c r="KLP249" s="22"/>
      <c r="KLQ249" s="22"/>
      <c r="KLR249" s="22"/>
      <c r="KLS249" s="22"/>
      <c r="KLT249" s="22"/>
      <c r="KLU249" s="22"/>
      <c r="KLV249" s="22"/>
      <c r="KLW249" s="22"/>
      <c r="KLX249" s="22"/>
      <c r="KLY249" s="22"/>
      <c r="KLZ249" s="22"/>
      <c r="KMA249" s="22"/>
      <c r="KMB249" s="22"/>
      <c r="KMC249" s="22"/>
      <c r="KMD249" s="22"/>
      <c r="KME249" s="22"/>
      <c r="KMF249" s="22"/>
      <c r="KMG249" s="22"/>
      <c r="KMH249" s="22"/>
      <c r="KMI249" s="22"/>
      <c r="KMJ249" s="22"/>
      <c r="KMK249" s="22"/>
      <c r="KML249" s="22"/>
      <c r="KMM249" s="22"/>
      <c r="KMN249" s="22"/>
      <c r="KMO249" s="22"/>
      <c r="KMP249" s="22"/>
      <c r="KMQ249" s="22"/>
      <c r="KMR249" s="22"/>
      <c r="KMS249" s="22"/>
      <c r="KMT249" s="22"/>
      <c r="KMU249" s="22"/>
      <c r="KMV249" s="22"/>
      <c r="KMW249" s="22"/>
      <c r="KMX249" s="22"/>
      <c r="KMY249" s="22"/>
      <c r="KMZ249" s="22"/>
      <c r="KNA249" s="22"/>
      <c r="KNB249" s="22"/>
      <c r="KNC249" s="22"/>
      <c r="KND249" s="22"/>
      <c r="KNE249" s="22"/>
      <c r="KNF249" s="22"/>
      <c r="KNG249" s="22"/>
      <c r="KNH249" s="22"/>
      <c r="KNI249" s="22"/>
      <c r="KNJ249" s="22"/>
      <c r="KNK249" s="22"/>
      <c r="KNL249" s="22"/>
      <c r="KNM249" s="22"/>
      <c r="KNN249" s="22"/>
      <c r="KNO249" s="22"/>
      <c r="KNP249" s="22"/>
      <c r="KNQ249" s="22"/>
      <c r="KNR249" s="22"/>
      <c r="KNS249" s="22"/>
      <c r="KNT249" s="22"/>
      <c r="KNU249" s="22"/>
      <c r="KNV249" s="22"/>
      <c r="KNW249" s="22"/>
      <c r="KNX249" s="22"/>
      <c r="KNY249" s="22"/>
      <c r="KNZ249" s="22"/>
      <c r="KOA249" s="22"/>
      <c r="KOB249" s="22"/>
      <c r="KOC249" s="22"/>
      <c r="KOD249" s="22"/>
      <c r="KOE249" s="22"/>
      <c r="KOF249" s="22"/>
      <c r="KOG249" s="22"/>
      <c r="KOH249" s="22"/>
      <c r="KOI249" s="22"/>
      <c r="KOJ249" s="22"/>
      <c r="KOK249" s="22"/>
      <c r="KOL249" s="22"/>
      <c r="KOM249" s="22"/>
      <c r="KON249" s="22"/>
      <c r="KOO249" s="22"/>
      <c r="KOP249" s="22"/>
      <c r="KOQ249" s="22"/>
      <c r="KOR249" s="22"/>
      <c r="KOS249" s="22"/>
      <c r="KOT249" s="22"/>
      <c r="KOU249" s="22"/>
      <c r="KOV249" s="22"/>
      <c r="KOW249" s="22"/>
      <c r="KOX249" s="22"/>
      <c r="KOY249" s="22"/>
      <c r="KOZ249" s="22"/>
      <c r="KPA249" s="22"/>
      <c r="KPB249" s="22"/>
      <c r="KPC249" s="22"/>
      <c r="KPD249" s="22"/>
      <c r="KPE249" s="22"/>
      <c r="KPF249" s="22"/>
      <c r="KPG249" s="22"/>
      <c r="KPH249" s="22"/>
      <c r="KPI249" s="22"/>
      <c r="KPJ249" s="22"/>
      <c r="KPK249" s="22"/>
      <c r="KPL249" s="22"/>
      <c r="KPM249" s="22"/>
      <c r="KPN249" s="22"/>
      <c r="KPO249" s="22"/>
      <c r="KPP249" s="22"/>
      <c r="KPQ249" s="22"/>
      <c r="KPR249" s="22"/>
      <c r="KPS249" s="22"/>
      <c r="KPT249" s="22"/>
      <c r="KPU249" s="22"/>
      <c r="KPV249" s="22"/>
      <c r="KPW249" s="22"/>
      <c r="KPX249" s="22"/>
      <c r="KPY249" s="22"/>
      <c r="KPZ249" s="22"/>
      <c r="KQA249" s="22"/>
      <c r="KQB249" s="22"/>
      <c r="KQC249" s="22"/>
      <c r="KQD249" s="22"/>
      <c r="KQE249" s="22"/>
      <c r="KQF249" s="22"/>
      <c r="KQG249" s="22"/>
      <c r="KQH249" s="22"/>
      <c r="KQI249" s="22"/>
      <c r="KQJ249" s="22"/>
      <c r="KQK249" s="22"/>
      <c r="KQL249" s="22"/>
      <c r="KQM249" s="22"/>
      <c r="KQN249" s="22"/>
      <c r="KQO249" s="22"/>
      <c r="KQP249" s="22"/>
      <c r="KQQ249" s="22"/>
      <c r="KQR249" s="22"/>
      <c r="KQS249" s="22"/>
      <c r="KQT249" s="22"/>
      <c r="KQU249" s="22"/>
      <c r="KQV249" s="22"/>
      <c r="KQW249" s="22"/>
      <c r="KQX249" s="22"/>
      <c r="KQY249" s="22"/>
      <c r="KQZ249" s="22"/>
      <c r="KRA249" s="22"/>
      <c r="KRB249" s="22"/>
      <c r="KRC249" s="22"/>
      <c r="KRD249" s="22"/>
      <c r="KRE249" s="22"/>
      <c r="KRF249" s="22"/>
      <c r="KRG249" s="22"/>
      <c r="KRH249" s="22"/>
      <c r="KRI249" s="22"/>
      <c r="KRJ249" s="22"/>
      <c r="KRK249" s="22"/>
      <c r="KRL249" s="22"/>
      <c r="KRM249" s="22"/>
      <c r="KRN249" s="22"/>
      <c r="KRO249" s="22"/>
      <c r="KRP249" s="22"/>
      <c r="KRQ249" s="22"/>
      <c r="KRR249" s="22"/>
      <c r="KRS249" s="22"/>
      <c r="KRT249" s="22"/>
      <c r="KRU249" s="22"/>
      <c r="KRV249" s="22"/>
      <c r="KRW249" s="22"/>
      <c r="KRX249" s="22"/>
      <c r="KRY249" s="22"/>
      <c r="KRZ249" s="22"/>
      <c r="KSA249" s="22"/>
      <c r="KSB249" s="22"/>
      <c r="KSC249" s="22"/>
      <c r="KSD249" s="22"/>
      <c r="KSE249" s="22"/>
      <c r="KSF249" s="22"/>
      <c r="KSG249" s="22"/>
      <c r="KSH249" s="22"/>
      <c r="KSI249" s="22"/>
      <c r="KSJ249" s="22"/>
      <c r="KSK249" s="22"/>
      <c r="KSL249" s="22"/>
      <c r="KSM249" s="22"/>
      <c r="KSN249" s="22"/>
      <c r="KSO249" s="22"/>
      <c r="KSP249" s="22"/>
      <c r="KSQ249" s="22"/>
      <c r="KSR249" s="22"/>
      <c r="KSS249" s="22"/>
      <c r="KST249" s="22"/>
      <c r="KSU249" s="22"/>
      <c r="KSV249" s="22"/>
      <c r="KSW249" s="22"/>
      <c r="KSX249" s="22"/>
      <c r="KSY249" s="22"/>
      <c r="KSZ249" s="22"/>
      <c r="KTA249" s="22"/>
      <c r="KTB249" s="22"/>
      <c r="KTC249" s="22"/>
      <c r="KTD249" s="22"/>
      <c r="KTE249" s="22"/>
      <c r="KTF249" s="22"/>
      <c r="KTG249" s="22"/>
      <c r="KTH249" s="22"/>
      <c r="KTI249" s="22"/>
      <c r="KTJ249" s="22"/>
      <c r="KTK249" s="22"/>
      <c r="KTL249" s="22"/>
      <c r="KTM249" s="22"/>
      <c r="KTN249" s="22"/>
      <c r="KTO249" s="22"/>
      <c r="KTP249" s="22"/>
      <c r="KTQ249" s="22"/>
      <c r="KTR249" s="22"/>
      <c r="KTS249" s="22"/>
      <c r="KTT249" s="22"/>
      <c r="KTU249" s="22"/>
      <c r="KTV249" s="22"/>
      <c r="KTW249" s="22"/>
      <c r="KTX249" s="22"/>
      <c r="KTY249" s="22"/>
      <c r="KTZ249" s="22"/>
      <c r="KUA249" s="22"/>
      <c r="KUB249" s="22"/>
      <c r="KUC249" s="22"/>
      <c r="KUD249" s="22"/>
      <c r="KUE249" s="22"/>
      <c r="KUF249" s="22"/>
      <c r="KUG249" s="22"/>
      <c r="KUH249" s="22"/>
      <c r="KUI249" s="22"/>
      <c r="KUJ249" s="22"/>
      <c r="KUK249" s="22"/>
      <c r="KUL249" s="22"/>
      <c r="KUM249" s="22"/>
      <c r="KUN249" s="22"/>
      <c r="KUO249" s="22"/>
      <c r="KUP249" s="22"/>
      <c r="KUQ249" s="22"/>
      <c r="KUR249" s="22"/>
      <c r="KUS249" s="22"/>
      <c r="KUT249" s="22"/>
      <c r="KUU249" s="22"/>
      <c r="KUV249" s="22"/>
      <c r="KUW249" s="22"/>
      <c r="KUX249" s="22"/>
      <c r="KUY249" s="22"/>
      <c r="KUZ249" s="22"/>
      <c r="KVA249" s="22"/>
      <c r="KVB249" s="22"/>
      <c r="KVC249" s="22"/>
      <c r="KVD249" s="22"/>
      <c r="KVE249" s="22"/>
      <c r="KVF249" s="22"/>
      <c r="KVG249" s="22"/>
      <c r="KVH249" s="22"/>
      <c r="KVI249" s="22"/>
      <c r="KVJ249" s="22"/>
      <c r="KVK249" s="22"/>
      <c r="KVL249" s="22"/>
      <c r="KVM249" s="22"/>
      <c r="KVN249" s="22"/>
      <c r="KVO249" s="22"/>
      <c r="KVP249" s="22"/>
      <c r="KVQ249" s="22"/>
      <c r="KVR249" s="22"/>
      <c r="KVS249" s="22"/>
      <c r="KVT249" s="22"/>
      <c r="KVU249" s="22"/>
      <c r="KVV249" s="22"/>
      <c r="KVW249" s="22"/>
      <c r="KVX249" s="22"/>
      <c r="KVY249" s="22"/>
      <c r="KVZ249" s="22"/>
      <c r="KWA249" s="22"/>
      <c r="KWB249" s="22"/>
      <c r="KWC249" s="22"/>
      <c r="KWD249" s="22"/>
      <c r="KWE249" s="22"/>
      <c r="KWF249" s="22"/>
      <c r="KWG249" s="22"/>
      <c r="KWH249" s="22"/>
      <c r="KWI249" s="22"/>
      <c r="KWJ249" s="22"/>
      <c r="KWK249" s="22"/>
      <c r="KWL249" s="22"/>
      <c r="KWM249" s="22"/>
      <c r="KWN249" s="22"/>
      <c r="KWO249" s="22"/>
      <c r="KWP249" s="22"/>
      <c r="KWQ249" s="22"/>
      <c r="KWR249" s="22"/>
      <c r="KWS249" s="22"/>
      <c r="KWT249" s="22"/>
      <c r="KWU249" s="22"/>
      <c r="KWV249" s="22"/>
      <c r="KWW249" s="22"/>
      <c r="KWX249" s="22"/>
      <c r="KWY249" s="22"/>
      <c r="KWZ249" s="22"/>
      <c r="KXA249" s="22"/>
      <c r="KXB249" s="22"/>
      <c r="KXC249" s="22"/>
      <c r="KXD249" s="22"/>
      <c r="KXE249" s="22"/>
      <c r="KXF249" s="22"/>
      <c r="KXG249" s="22"/>
      <c r="KXH249" s="22"/>
      <c r="KXI249" s="22"/>
      <c r="KXJ249" s="22"/>
      <c r="KXK249" s="22"/>
      <c r="KXL249" s="22"/>
      <c r="KXM249" s="22"/>
      <c r="KXN249" s="22"/>
      <c r="KXO249" s="22"/>
      <c r="KXP249" s="22"/>
      <c r="KXQ249" s="22"/>
      <c r="KXR249" s="22"/>
      <c r="KXS249" s="22"/>
      <c r="KXT249" s="22"/>
      <c r="KXU249" s="22"/>
      <c r="KXV249" s="22"/>
      <c r="KXW249" s="22"/>
      <c r="KXX249" s="22"/>
      <c r="KXY249" s="22"/>
      <c r="KXZ249" s="22"/>
      <c r="KYA249" s="22"/>
      <c r="KYB249" s="22"/>
      <c r="KYC249" s="22"/>
      <c r="KYD249" s="22"/>
      <c r="KYE249" s="22"/>
      <c r="KYF249" s="22"/>
      <c r="KYG249" s="22"/>
      <c r="KYH249" s="22"/>
      <c r="KYI249" s="22"/>
      <c r="KYJ249" s="22"/>
      <c r="KYK249" s="22"/>
      <c r="KYL249" s="22"/>
      <c r="KYM249" s="22"/>
      <c r="KYN249" s="22"/>
      <c r="KYO249" s="22"/>
      <c r="KYP249" s="22"/>
      <c r="KYQ249" s="22"/>
      <c r="KYR249" s="22"/>
      <c r="KYS249" s="22"/>
      <c r="KYT249" s="22"/>
      <c r="KYU249" s="22"/>
      <c r="KYV249" s="22"/>
      <c r="KYW249" s="22"/>
      <c r="KYX249" s="22"/>
      <c r="KYY249" s="22"/>
      <c r="KYZ249" s="22"/>
      <c r="KZA249" s="22"/>
      <c r="KZB249" s="22"/>
      <c r="KZC249" s="22"/>
      <c r="KZD249" s="22"/>
      <c r="KZE249" s="22"/>
      <c r="KZF249" s="22"/>
      <c r="KZG249" s="22"/>
      <c r="KZH249" s="22"/>
      <c r="KZI249" s="22"/>
      <c r="KZJ249" s="22"/>
      <c r="KZK249" s="22"/>
      <c r="KZL249" s="22"/>
      <c r="KZM249" s="22"/>
      <c r="KZN249" s="22"/>
      <c r="KZO249" s="22"/>
      <c r="KZP249" s="22"/>
      <c r="KZQ249" s="22"/>
      <c r="KZR249" s="22"/>
      <c r="KZS249" s="22"/>
      <c r="KZT249" s="22"/>
      <c r="KZU249" s="22"/>
      <c r="KZV249" s="22"/>
      <c r="KZW249" s="22"/>
      <c r="KZX249" s="22"/>
      <c r="KZY249" s="22"/>
      <c r="KZZ249" s="22"/>
      <c r="LAA249" s="22"/>
      <c r="LAB249" s="22"/>
      <c r="LAC249" s="22"/>
      <c r="LAD249" s="22"/>
      <c r="LAE249" s="22"/>
      <c r="LAF249" s="22"/>
      <c r="LAG249" s="22"/>
      <c r="LAH249" s="22"/>
      <c r="LAI249" s="22"/>
      <c r="LAJ249" s="22"/>
      <c r="LAK249" s="22"/>
      <c r="LAL249" s="22"/>
      <c r="LAM249" s="22"/>
      <c r="LAN249" s="22"/>
      <c r="LAO249" s="22"/>
      <c r="LAP249" s="22"/>
      <c r="LAQ249" s="22"/>
      <c r="LAR249" s="22"/>
      <c r="LAS249" s="22"/>
      <c r="LAT249" s="22"/>
      <c r="LAU249" s="22"/>
      <c r="LAV249" s="22"/>
      <c r="LAW249" s="22"/>
      <c r="LAX249" s="22"/>
      <c r="LAY249" s="22"/>
      <c r="LAZ249" s="22"/>
      <c r="LBA249" s="22"/>
      <c r="LBB249" s="22"/>
      <c r="LBC249" s="22"/>
      <c r="LBD249" s="22"/>
      <c r="LBE249" s="22"/>
      <c r="LBF249" s="22"/>
      <c r="LBG249" s="22"/>
      <c r="LBH249" s="22"/>
      <c r="LBI249" s="22"/>
      <c r="LBJ249" s="22"/>
      <c r="LBK249" s="22"/>
      <c r="LBL249" s="22"/>
      <c r="LBM249" s="22"/>
      <c r="LBN249" s="22"/>
      <c r="LBO249" s="22"/>
      <c r="LBP249" s="22"/>
      <c r="LBQ249" s="22"/>
      <c r="LBR249" s="22"/>
      <c r="LBS249" s="22"/>
      <c r="LBT249" s="22"/>
      <c r="LBU249" s="22"/>
      <c r="LBV249" s="22"/>
      <c r="LBW249" s="22"/>
      <c r="LBX249" s="22"/>
      <c r="LBY249" s="22"/>
      <c r="LBZ249" s="22"/>
      <c r="LCA249" s="22"/>
      <c r="LCB249" s="22"/>
      <c r="LCC249" s="22"/>
      <c r="LCD249" s="22"/>
      <c r="LCE249" s="22"/>
      <c r="LCF249" s="22"/>
      <c r="LCG249" s="22"/>
      <c r="LCH249" s="22"/>
      <c r="LCI249" s="22"/>
      <c r="LCJ249" s="22"/>
      <c r="LCK249" s="22"/>
      <c r="LCL249" s="22"/>
      <c r="LCM249" s="22"/>
      <c r="LCN249" s="22"/>
      <c r="LCO249" s="22"/>
      <c r="LCP249" s="22"/>
      <c r="LCQ249" s="22"/>
      <c r="LCR249" s="22"/>
      <c r="LCS249" s="22"/>
      <c r="LCT249" s="22"/>
      <c r="LCU249" s="22"/>
      <c r="LCV249" s="22"/>
      <c r="LCW249" s="22"/>
      <c r="LCX249" s="22"/>
      <c r="LCY249" s="22"/>
      <c r="LCZ249" s="22"/>
      <c r="LDA249" s="22"/>
      <c r="LDB249" s="22"/>
      <c r="LDC249" s="22"/>
      <c r="LDD249" s="22"/>
      <c r="LDE249" s="22"/>
      <c r="LDF249" s="22"/>
      <c r="LDG249" s="22"/>
      <c r="LDH249" s="22"/>
      <c r="LDI249" s="22"/>
      <c r="LDJ249" s="22"/>
      <c r="LDK249" s="22"/>
      <c r="LDL249" s="22"/>
      <c r="LDM249" s="22"/>
      <c r="LDN249" s="22"/>
      <c r="LDO249" s="22"/>
      <c r="LDP249" s="22"/>
      <c r="LDQ249" s="22"/>
      <c r="LDR249" s="22"/>
      <c r="LDS249" s="22"/>
      <c r="LDT249" s="22"/>
      <c r="LDU249" s="22"/>
      <c r="LDV249" s="22"/>
      <c r="LDW249" s="22"/>
      <c r="LDX249" s="22"/>
      <c r="LDY249" s="22"/>
      <c r="LDZ249" s="22"/>
      <c r="LEA249" s="22"/>
      <c r="LEB249" s="22"/>
      <c r="LEC249" s="22"/>
      <c r="LED249" s="22"/>
      <c r="LEE249" s="22"/>
      <c r="LEF249" s="22"/>
      <c r="LEG249" s="22"/>
      <c r="LEH249" s="22"/>
      <c r="LEI249" s="22"/>
      <c r="LEJ249" s="22"/>
      <c r="LEK249" s="22"/>
      <c r="LEL249" s="22"/>
      <c r="LEM249" s="22"/>
      <c r="LEN249" s="22"/>
      <c r="LEO249" s="22"/>
      <c r="LEP249" s="22"/>
      <c r="LEQ249" s="22"/>
      <c r="LER249" s="22"/>
      <c r="LES249" s="22"/>
      <c r="LET249" s="22"/>
      <c r="LEU249" s="22"/>
      <c r="LEV249" s="22"/>
      <c r="LEW249" s="22"/>
      <c r="LEX249" s="22"/>
      <c r="LEY249" s="22"/>
      <c r="LEZ249" s="22"/>
      <c r="LFA249" s="22"/>
      <c r="LFB249" s="22"/>
      <c r="LFC249" s="22"/>
      <c r="LFD249" s="22"/>
      <c r="LFE249" s="22"/>
      <c r="LFF249" s="22"/>
      <c r="LFG249" s="22"/>
      <c r="LFH249" s="22"/>
      <c r="LFI249" s="22"/>
      <c r="LFJ249" s="22"/>
      <c r="LFK249" s="22"/>
      <c r="LFL249" s="22"/>
      <c r="LFM249" s="22"/>
      <c r="LFN249" s="22"/>
      <c r="LFO249" s="22"/>
      <c r="LFP249" s="22"/>
      <c r="LFQ249" s="22"/>
      <c r="LFR249" s="22"/>
      <c r="LFS249" s="22"/>
      <c r="LFT249" s="22"/>
      <c r="LFU249" s="22"/>
      <c r="LFV249" s="22"/>
      <c r="LFW249" s="22"/>
      <c r="LFX249" s="22"/>
      <c r="LFY249" s="22"/>
      <c r="LFZ249" s="22"/>
      <c r="LGA249" s="22"/>
      <c r="LGB249" s="22"/>
      <c r="LGC249" s="22"/>
      <c r="LGD249" s="22"/>
      <c r="LGE249" s="22"/>
      <c r="LGF249" s="22"/>
      <c r="LGG249" s="22"/>
      <c r="LGH249" s="22"/>
      <c r="LGI249" s="22"/>
      <c r="LGJ249" s="22"/>
      <c r="LGK249" s="22"/>
      <c r="LGL249" s="22"/>
      <c r="LGM249" s="22"/>
      <c r="LGN249" s="22"/>
      <c r="LGO249" s="22"/>
      <c r="LGP249" s="22"/>
      <c r="LGQ249" s="22"/>
      <c r="LGR249" s="22"/>
      <c r="LGS249" s="22"/>
      <c r="LGT249" s="22"/>
      <c r="LGU249" s="22"/>
      <c r="LGV249" s="22"/>
      <c r="LGW249" s="22"/>
      <c r="LGX249" s="22"/>
      <c r="LGY249" s="22"/>
      <c r="LGZ249" s="22"/>
      <c r="LHA249" s="22"/>
      <c r="LHB249" s="22"/>
      <c r="LHC249" s="22"/>
      <c r="LHD249" s="22"/>
      <c r="LHE249" s="22"/>
      <c r="LHF249" s="22"/>
      <c r="LHG249" s="22"/>
      <c r="LHH249" s="22"/>
      <c r="LHI249" s="22"/>
      <c r="LHJ249" s="22"/>
      <c r="LHK249" s="22"/>
      <c r="LHL249" s="22"/>
      <c r="LHM249" s="22"/>
      <c r="LHN249" s="22"/>
      <c r="LHO249" s="22"/>
      <c r="LHP249" s="22"/>
      <c r="LHQ249" s="22"/>
      <c r="LHR249" s="22"/>
      <c r="LHS249" s="22"/>
      <c r="LHT249" s="22"/>
      <c r="LHU249" s="22"/>
      <c r="LHV249" s="22"/>
      <c r="LHW249" s="22"/>
      <c r="LHX249" s="22"/>
      <c r="LHY249" s="22"/>
      <c r="LHZ249" s="22"/>
      <c r="LIA249" s="22"/>
      <c r="LIB249" s="22"/>
      <c r="LIC249" s="22"/>
      <c r="LID249" s="22"/>
      <c r="LIE249" s="22"/>
      <c r="LIF249" s="22"/>
      <c r="LIG249" s="22"/>
      <c r="LIH249" s="22"/>
      <c r="LII249" s="22"/>
      <c r="LIJ249" s="22"/>
      <c r="LIK249" s="22"/>
      <c r="LIL249" s="22"/>
      <c r="LIM249" s="22"/>
      <c r="LIN249" s="22"/>
      <c r="LIO249" s="22"/>
      <c r="LIP249" s="22"/>
      <c r="LIQ249" s="22"/>
      <c r="LIR249" s="22"/>
      <c r="LIS249" s="22"/>
      <c r="LIT249" s="22"/>
      <c r="LIU249" s="22"/>
      <c r="LIV249" s="22"/>
      <c r="LIW249" s="22"/>
      <c r="LIX249" s="22"/>
      <c r="LIY249" s="22"/>
      <c r="LIZ249" s="22"/>
      <c r="LJA249" s="22"/>
      <c r="LJB249" s="22"/>
      <c r="LJC249" s="22"/>
      <c r="LJD249" s="22"/>
      <c r="LJE249" s="22"/>
      <c r="LJF249" s="22"/>
      <c r="LJG249" s="22"/>
      <c r="LJH249" s="22"/>
      <c r="LJI249" s="22"/>
      <c r="LJJ249" s="22"/>
      <c r="LJK249" s="22"/>
      <c r="LJL249" s="22"/>
      <c r="LJM249" s="22"/>
      <c r="LJN249" s="22"/>
      <c r="LJO249" s="22"/>
      <c r="LJP249" s="22"/>
      <c r="LJQ249" s="22"/>
      <c r="LJR249" s="22"/>
      <c r="LJS249" s="22"/>
      <c r="LJT249" s="22"/>
      <c r="LJU249" s="22"/>
      <c r="LJV249" s="22"/>
      <c r="LJW249" s="22"/>
      <c r="LJX249" s="22"/>
      <c r="LJY249" s="22"/>
      <c r="LJZ249" s="22"/>
      <c r="LKA249" s="22"/>
      <c r="LKB249" s="22"/>
      <c r="LKC249" s="22"/>
      <c r="LKD249" s="22"/>
      <c r="LKE249" s="22"/>
      <c r="LKF249" s="22"/>
      <c r="LKG249" s="22"/>
      <c r="LKH249" s="22"/>
      <c r="LKI249" s="22"/>
      <c r="LKJ249" s="22"/>
      <c r="LKK249" s="22"/>
      <c r="LKL249" s="22"/>
      <c r="LKM249" s="22"/>
      <c r="LKN249" s="22"/>
      <c r="LKO249" s="22"/>
      <c r="LKP249" s="22"/>
      <c r="LKQ249" s="22"/>
      <c r="LKR249" s="22"/>
      <c r="LKS249" s="22"/>
      <c r="LKT249" s="22"/>
      <c r="LKU249" s="22"/>
      <c r="LKV249" s="22"/>
      <c r="LKW249" s="22"/>
      <c r="LKX249" s="22"/>
      <c r="LKY249" s="22"/>
      <c r="LKZ249" s="22"/>
      <c r="LLA249" s="22"/>
      <c r="LLB249" s="22"/>
      <c r="LLC249" s="22"/>
      <c r="LLD249" s="22"/>
      <c r="LLE249" s="22"/>
      <c r="LLF249" s="22"/>
      <c r="LLG249" s="22"/>
      <c r="LLH249" s="22"/>
      <c r="LLI249" s="22"/>
      <c r="LLJ249" s="22"/>
      <c r="LLK249" s="22"/>
      <c r="LLL249" s="22"/>
      <c r="LLM249" s="22"/>
      <c r="LLN249" s="22"/>
      <c r="LLO249" s="22"/>
      <c r="LLP249" s="22"/>
      <c r="LLQ249" s="22"/>
      <c r="LLR249" s="22"/>
      <c r="LLS249" s="22"/>
      <c r="LLT249" s="22"/>
      <c r="LLU249" s="22"/>
      <c r="LLV249" s="22"/>
      <c r="LLW249" s="22"/>
      <c r="LLX249" s="22"/>
      <c r="LLY249" s="22"/>
      <c r="LLZ249" s="22"/>
      <c r="LMA249" s="22"/>
      <c r="LMB249" s="22"/>
      <c r="LMC249" s="22"/>
      <c r="LMD249" s="22"/>
      <c r="LME249" s="22"/>
      <c r="LMF249" s="22"/>
      <c r="LMG249" s="22"/>
      <c r="LMH249" s="22"/>
      <c r="LMI249" s="22"/>
      <c r="LMJ249" s="22"/>
      <c r="LMK249" s="22"/>
      <c r="LML249" s="22"/>
      <c r="LMM249" s="22"/>
      <c r="LMN249" s="22"/>
      <c r="LMO249" s="22"/>
      <c r="LMP249" s="22"/>
      <c r="LMQ249" s="22"/>
      <c r="LMR249" s="22"/>
      <c r="LMS249" s="22"/>
      <c r="LMT249" s="22"/>
      <c r="LMU249" s="22"/>
      <c r="LMV249" s="22"/>
      <c r="LMW249" s="22"/>
      <c r="LMX249" s="22"/>
      <c r="LMY249" s="22"/>
      <c r="LMZ249" s="22"/>
      <c r="LNA249" s="22"/>
      <c r="LNB249" s="22"/>
      <c r="LNC249" s="22"/>
      <c r="LND249" s="22"/>
      <c r="LNE249" s="22"/>
      <c r="LNF249" s="22"/>
      <c r="LNG249" s="22"/>
      <c r="LNH249" s="22"/>
      <c r="LNI249" s="22"/>
      <c r="LNJ249" s="22"/>
      <c r="LNK249" s="22"/>
      <c r="LNL249" s="22"/>
      <c r="LNM249" s="22"/>
      <c r="LNN249" s="22"/>
      <c r="LNO249" s="22"/>
      <c r="LNP249" s="22"/>
      <c r="LNQ249" s="22"/>
      <c r="LNR249" s="22"/>
      <c r="LNS249" s="22"/>
      <c r="LNT249" s="22"/>
      <c r="LNU249" s="22"/>
      <c r="LNV249" s="22"/>
      <c r="LNW249" s="22"/>
      <c r="LNX249" s="22"/>
      <c r="LNY249" s="22"/>
      <c r="LNZ249" s="22"/>
      <c r="LOA249" s="22"/>
      <c r="LOB249" s="22"/>
      <c r="LOC249" s="22"/>
      <c r="LOD249" s="22"/>
      <c r="LOE249" s="22"/>
      <c r="LOF249" s="22"/>
      <c r="LOG249" s="22"/>
      <c r="LOH249" s="22"/>
      <c r="LOI249" s="22"/>
      <c r="LOJ249" s="22"/>
      <c r="LOK249" s="22"/>
      <c r="LOL249" s="22"/>
      <c r="LOM249" s="22"/>
      <c r="LON249" s="22"/>
      <c r="LOO249" s="22"/>
      <c r="LOP249" s="22"/>
      <c r="LOQ249" s="22"/>
      <c r="LOR249" s="22"/>
      <c r="LOS249" s="22"/>
      <c r="LOT249" s="22"/>
      <c r="LOU249" s="22"/>
      <c r="LOV249" s="22"/>
      <c r="LOW249" s="22"/>
      <c r="LOX249" s="22"/>
      <c r="LOY249" s="22"/>
      <c r="LOZ249" s="22"/>
      <c r="LPA249" s="22"/>
      <c r="LPB249" s="22"/>
      <c r="LPC249" s="22"/>
      <c r="LPD249" s="22"/>
      <c r="LPE249" s="22"/>
      <c r="LPF249" s="22"/>
      <c r="LPG249" s="22"/>
      <c r="LPH249" s="22"/>
      <c r="LPI249" s="22"/>
      <c r="LPJ249" s="22"/>
      <c r="LPK249" s="22"/>
      <c r="LPL249" s="22"/>
      <c r="LPM249" s="22"/>
      <c r="LPN249" s="22"/>
      <c r="LPO249" s="22"/>
      <c r="LPP249" s="22"/>
      <c r="LPQ249" s="22"/>
      <c r="LPR249" s="22"/>
      <c r="LPS249" s="22"/>
      <c r="LPT249" s="22"/>
      <c r="LPU249" s="22"/>
      <c r="LPV249" s="22"/>
      <c r="LPW249" s="22"/>
      <c r="LPX249" s="22"/>
      <c r="LPY249" s="22"/>
      <c r="LPZ249" s="22"/>
      <c r="LQA249" s="22"/>
      <c r="LQB249" s="22"/>
      <c r="LQC249" s="22"/>
      <c r="LQD249" s="22"/>
      <c r="LQE249" s="22"/>
      <c r="LQF249" s="22"/>
      <c r="LQG249" s="22"/>
      <c r="LQH249" s="22"/>
      <c r="LQI249" s="22"/>
      <c r="LQJ249" s="22"/>
      <c r="LQK249" s="22"/>
      <c r="LQL249" s="22"/>
      <c r="LQM249" s="22"/>
      <c r="LQN249" s="22"/>
      <c r="LQO249" s="22"/>
      <c r="LQP249" s="22"/>
      <c r="LQQ249" s="22"/>
      <c r="LQR249" s="22"/>
      <c r="LQS249" s="22"/>
      <c r="LQT249" s="22"/>
      <c r="LQU249" s="22"/>
      <c r="LQV249" s="22"/>
      <c r="LQW249" s="22"/>
      <c r="LQX249" s="22"/>
      <c r="LQY249" s="22"/>
      <c r="LQZ249" s="22"/>
      <c r="LRA249" s="22"/>
      <c r="LRB249" s="22"/>
      <c r="LRC249" s="22"/>
      <c r="LRD249" s="22"/>
      <c r="LRE249" s="22"/>
      <c r="LRF249" s="22"/>
      <c r="LRG249" s="22"/>
      <c r="LRH249" s="22"/>
      <c r="LRI249" s="22"/>
      <c r="LRJ249" s="22"/>
      <c r="LRK249" s="22"/>
      <c r="LRL249" s="22"/>
      <c r="LRM249" s="22"/>
      <c r="LRN249" s="22"/>
      <c r="LRO249" s="22"/>
      <c r="LRP249" s="22"/>
      <c r="LRQ249" s="22"/>
      <c r="LRR249" s="22"/>
      <c r="LRS249" s="22"/>
      <c r="LRT249" s="22"/>
      <c r="LRU249" s="22"/>
      <c r="LRV249" s="22"/>
      <c r="LRW249" s="22"/>
      <c r="LRX249" s="22"/>
      <c r="LRY249" s="22"/>
      <c r="LRZ249" s="22"/>
      <c r="LSA249" s="22"/>
      <c r="LSB249" s="22"/>
      <c r="LSC249" s="22"/>
      <c r="LSD249" s="22"/>
      <c r="LSE249" s="22"/>
      <c r="LSF249" s="22"/>
      <c r="LSG249" s="22"/>
      <c r="LSH249" s="22"/>
      <c r="LSI249" s="22"/>
      <c r="LSJ249" s="22"/>
      <c r="LSK249" s="22"/>
      <c r="LSL249" s="22"/>
      <c r="LSM249" s="22"/>
      <c r="LSN249" s="22"/>
      <c r="LSO249" s="22"/>
      <c r="LSP249" s="22"/>
      <c r="LSQ249" s="22"/>
      <c r="LSR249" s="22"/>
      <c r="LSS249" s="22"/>
      <c r="LST249" s="22"/>
      <c r="LSU249" s="22"/>
      <c r="LSV249" s="22"/>
      <c r="LSW249" s="22"/>
      <c r="LSX249" s="22"/>
      <c r="LSY249" s="22"/>
      <c r="LSZ249" s="22"/>
      <c r="LTA249" s="22"/>
      <c r="LTB249" s="22"/>
      <c r="LTC249" s="22"/>
      <c r="LTD249" s="22"/>
      <c r="LTE249" s="22"/>
      <c r="LTF249" s="22"/>
      <c r="LTG249" s="22"/>
      <c r="LTH249" s="22"/>
      <c r="LTI249" s="22"/>
      <c r="LTJ249" s="22"/>
      <c r="LTK249" s="22"/>
      <c r="LTL249" s="22"/>
      <c r="LTM249" s="22"/>
      <c r="LTN249" s="22"/>
      <c r="LTO249" s="22"/>
      <c r="LTP249" s="22"/>
      <c r="LTQ249" s="22"/>
      <c r="LTR249" s="22"/>
      <c r="LTS249" s="22"/>
      <c r="LTT249" s="22"/>
      <c r="LTU249" s="22"/>
      <c r="LTV249" s="22"/>
      <c r="LTW249" s="22"/>
      <c r="LTX249" s="22"/>
      <c r="LTY249" s="22"/>
      <c r="LTZ249" s="22"/>
      <c r="LUA249" s="22"/>
      <c r="LUB249" s="22"/>
      <c r="LUC249" s="22"/>
      <c r="LUD249" s="22"/>
      <c r="LUE249" s="22"/>
      <c r="LUF249" s="22"/>
      <c r="LUG249" s="22"/>
      <c r="LUH249" s="22"/>
      <c r="LUI249" s="22"/>
      <c r="LUJ249" s="22"/>
      <c r="LUK249" s="22"/>
      <c r="LUL249" s="22"/>
      <c r="LUM249" s="22"/>
      <c r="LUN249" s="22"/>
      <c r="LUO249" s="22"/>
      <c r="LUP249" s="22"/>
      <c r="LUQ249" s="22"/>
      <c r="LUR249" s="22"/>
      <c r="LUS249" s="22"/>
      <c r="LUT249" s="22"/>
      <c r="LUU249" s="22"/>
      <c r="LUV249" s="22"/>
      <c r="LUW249" s="22"/>
      <c r="LUX249" s="22"/>
      <c r="LUY249" s="22"/>
      <c r="LUZ249" s="22"/>
      <c r="LVA249" s="22"/>
      <c r="LVB249" s="22"/>
      <c r="LVC249" s="22"/>
      <c r="LVD249" s="22"/>
      <c r="LVE249" s="22"/>
      <c r="LVF249" s="22"/>
      <c r="LVG249" s="22"/>
      <c r="LVH249" s="22"/>
      <c r="LVI249" s="22"/>
      <c r="LVJ249" s="22"/>
      <c r="LVK249" s="22"/>
      <c r="LVL249" s="22"/>
      <c r="LVM249" s="22"/>
      <c r="LVN249" s="22"/>
      <c r="LVO249" s="22"/>
      <c r="LVP249" s="22"/>
      <c r="LVQ249" s="22"/>
      <c r="LVR249" s="22"/>
      <c r="LVS249" s="22"/>
      <c r="LVT249" s="22"/>
      <c r="LVU249" s="22"/>
      <c r="LVV249" s="22"/>
      <c r="LVW249" s="22"/>
      <c r="LVX249" s="22"/>
      <c r="LVY249" s="22"/>
      <c r="LVZ249" s="22"/>
      <c r="LWA249" s="22"/>
      <c r="LWB249" s="22"/>
      <c r="LWC249" s="22"/>
      <c r="LWD249" s="22"/>
      <c r="LWE249" s="22"/>
      <c r="LWF249" s="22"/>
      <c r="LWG249" s="22"/>
      <c r="LWH249" s="22"/>
      <c r="LWI249" s="22"/>
      <c r="LWJ249" s="22"/>
      <c r="LWK249" s="22"/>
      <c r="LWL249" s="22"/>
      <c r="LWM249" s="22"/>
      <c r="LWN249" s="22"/>
      <c r="LWO249" s="22"/>
      <c r="LWP249" s="22"/>
      <c r="LWQ249" s="22"/>
      <c r="LWR249" s="22"/>
      <c r="LWS249" s="22"/>
      <c r="LWT249" s="22"/>
      <c r="LWU249" s="22"/>
      <c r="LWV249" s="22"/>
      <c r="LWW249" s="22"/>
      <c r="LWX249" s="22"/>
      <c r="LWY249" s="22"/>
      <c r="LWZ249" s="22"/>
      <c r="LXA249" s="22"/>
      <c r="LXB249" s="22"/>
      <c r="LXC249" s="22"/>
      <c r="LXD249" s="22"/>
      <c r="LXE249" s="22"/>
      <c r="LXF249" s="22"/>
      <c r="LXG249" s="22"/>
      <c r="LXH249" s="22"/>
      <c r="LXI249" s="22"/>
      <c r="LXJ249" s="22"/>
      <c r="LXK249" s="22"/>
      <c r="LXL249" s="22"/>
      <c r="LXM249" s="22"/>
      <c r="LXN249" s="22"/>
      <c r="LXO249" s="22"/>
      <c r="LXP249" s="22"/>
      <c r="LXQ249" s="22"/>
      <c r="LXR249" s="22"/>
      <c r="LXS249" s="22"/>
      <c r="LXT249" s="22"/>
      <c r="LXU249" s="22"/>
      <c r="LXV249" s="22"/>
      <c r="LXW249" s="22"/>
      <c r="LXX249" s="22"/>
      <c r="LXY249" s="22"/>
      <c r="LXZ249" s="22"/>
      <c r="LYA249" s="22"/>
      <c r="LYB249" s="22"/>
      <c r="LYC249" s="22"/>
      <c r="LYD249" s="22"/>
      <c r="LYE249" s="22"/>
      <c r="LYF249" s="22"/>
      <c r="LYG249" s="22"/>
      <c r="LYH249" s="22"/>
      <c r="LYI249" s="22"/>
      <c r="LYJ249" s="22"/>
      <c r="LYK249" s="22"/>
      <c r="LYL249" s="22"/>
      <c r="LYM249" s="22"/>
      <c r="LYN249" s="22"/>
      <c r="LYO249" s="22"/>
      <c r="LYP249" s="22"/>
      <c r="LYQ249" s="22"/>
      <c r="LYR249" s="22"/>
      <c r="LYS249" s="22"/>
      <c r="LYT249" s="22"/>
      <c r="LYU249" s="22"/>
      <c r="LYV249" s="22"/>
      <c r="LYW249" s="22"/>
      <c r="LYX249" s="22"/>
      <c r="LYY249" s="22"/>
      <c r="LYZ249" s="22"/>
      <c r="LZA249" s="22"/>
      <c r="LZB249" s="22"/>
      <c r="LZC249" s="22"/>
      <c r="LZD249" s="22"/>
      <c r="LZE249" s="22"/>
      <c r="LZF249" s="22"/>
      <c r="LZG249" s="22"/>
      <c r="LZH249" s="22"/>
      <c r="LZI249" s="22"/>
      <c r="LZJ249" s="22"/>
      <c r="LZK249" s="22"/>
      <c r="LZL249" s="22"/>
      <c r="LZM249" s="22"/>
      <c r="LZN249" s="22"/>
      <c r="LZO249" s="22"/>
      <c r="LZP249" s="22"/>
      <c r="LZQ249" s="22"/>
      <c r="LZR249" s="22"/>
      <c r="LZS249" s="22"/>
      <c r="LZT249" s="22"/>
      <c r="LZU249" s="22"/>
      <c r="LZV249" s="22"/>
      <c r="LZW249" s="22"/>
      <c r="LZX249" s="22"/>
      <c r="LZY249" s="22"/>
      <c r="LZZ249" s="22"/>
      <c r="MAA249" s="22"/>
      <c r="MAB249" s="22"/>
      <c r="MAC249" s="22"/>
      <c r="MAD249" s="22"/>
      <c r="MAE249" s="22"/>
      <c r="MAF249" s="22"/>
      <c r="MAG249" s="22"/>
      <c r="MAH249" s="22"/>
      <c r="MAI249" s="22"/>
      <c r="MAJ249" s="22"/>
      <c r="MAK249" s="22"/>
      <c r="MAL249" s="22"/>
      <c r="MAM249" s="22"/>
      <c r="MAN249" s="22"/>
      <c r="MAO249" s="22"/>
      <c r="MAP249" s="22"/>
      <c r="MAQ249" s="22"/>
      <c r="MAR249" s="22"/>
      <c r="MAS249" s="22"/>
      <c r="MAT249" s="22"/>
      <c r="MAU249" s="22"/>
      <c r="MAV249" s="22"/>
      <c r="MAW249" s="22"/>
      <c r="MAX249" s="22"/>
      <c r="MAY249" s="22"/>
      <c r="MAZ249" s="22"/>
      <c r="MBA249" s="22"/>
      <c r="MBB249" s="22"/>
      <c r="MBC249" s="22"/>
      <c r="MBD249" s="22"/>
      <c r="MBE249" s="22"/>
      <c r="MBF249" s="22"/>
      <c r="MBG249" s="22"/>
      <c r="MBH249" s="22"/>
      <c r="MBI249" s="22"/>
      <c r="MBJ249" s="22"/>
      <c r="MBK249" s="22"/>
      <c r="MBL249" s="22"/>
      <c r="MBM249" s="22"/>
      <c r="MBN249" s="22"/>
      <c r="MBO249" s="22"/>
      <c r="MBP249" s="22"/>
      <c r="MBQ249" s="22"/>
      <c r="MBR249" s="22"/>
      <c r="MBS249" s="22"/>
      <c r="MBT249" s="22"/>
      <c r="MBU249" s="22"/>
      <c r="MBV249" s="22"/>
      <c r="MBW249" s="22"/>
      <c r="MBX249" s="22"/>
      <c r="MBY249" s="22"/>
      <c r="MBZ249" s="22"/>
      <c r="MCA249" s="22"/>
      <c r="MCB249" s="22"/>
      <c r="MCC249" s="22"/>
      <c r="MCD249" s="22"/>
      <c r="MCE249" s="22"/>
      <c r="MCF249" s="22"/>
      <c r="MCG249" s="22"/>
      <c r="MCH249" s="22"/>
      <c r="MCI249" s="22"/>
      <c r="MCJ249" s="22"/>
      <c r="MCK249" s="22"/>
      <c r="MCL249" s="22"/>
      <c r="MCM249" s="22"/>
      <c r="MCN249" s="22"/>
      <c r="MCO249" s="22"/>
      <c r="MCP249" s="22"/>
      <c r="MCQ249" s="22"/>
      <c r="MCR249" s="22"/>
      <c r="MCS249" s="22"/>
      <c r="MCT249" s="22"/>
      <c r="MCU249" s="22"/>
      <c r="MCV249" s="22"/>
      <c r="MCW249" s="22"/>
      <c r="MCX249" s="22"/>
      <c r="MCY249" s="22"/>
      <c r="MCZ249" s="22"/>
      <c r="MDA249" s="22"/>
      <c r="MDB249" s="22"/>
      <c r="MDC249" s="22"/>
      <c r="MDD249" s="22"/>
      <c r="MDE249" s="22"/>
      <c r="MDF249" s="22"/>
      <c r="MDG249" s="22"/>
      <c r="MDH249" s="22"/>
      <c r="MDI249" s="22"/>
      <c r="MDJ249" s="22"/>
      <c r="MDK249" s="22"/>
      <c r="MDL249" s="22"/>
      <c r="MDM249" s="22"/>
      <c r="MDN249" s="22"/>
      <c r="MDO249" s="22"/>
      <c r="MDP249" s="22"/>
      <c r="MDQ249" s="22"/>
      <c r="MDR249" s="22"/>
      <c r="MDS249" s="22"/>
      <c r="MDT249" s="22"/>
      <c r="MDU249" s="22"/>
      <c r="MDV249" s="22"/>
      <c r="MDW249" s="22"/>
      <c r="MDX249" s="22"/>
      <c r="MDY249" s="22"/>
      <c r="MDZ249" s="22"/>
      <c r="MEA249" s="22"/>
      <c r="MEB249" s="22"/>
      <c r="MEC249" s="22"/>
      <c r="MED249" s="22"/>
      <c r="MEE249" s="22"/>
      <c r="MEF249" s="22"/>
      <c r="MEG249" s="22"/>
      <c r="MEH249" s="22"/>
      <c r="MEI249" s="22"/>
      <c r="MEJ249" s="22"/>
      <c r="MEK249" s="22"/>
      <c r="MEL249" s="22"/>
      <c r="MEM249" s="22"/>
      <c r="MEN249" s="22"/>
      <c r="MEO249" s="22"/>
      <c r="MEP249" s="22"/>
      <c r="MEQ249" s="22"/>
      <c r="MER249" s="22"/>
      <c r="MES249" s="22"/>
      <c r="MET249" s="22"/>
      <c r="MEU249" s="22"/>
      <c r="MEV249" s="22"/>
      <c r="MEW249" s="22"/>
      <c r="MEX249" s="22"/>
      <c r="MEY249" s="22"/>
      <c r="MEZ249" s="22"/>
      <c r="MFA249" s="22"/>
      <c r="MFB249" s="22"/>
      <c r="MFC249" s="22"/>
      <c r="MFD249" s="22"/>
      <c r="MFE249" s="22"/>
      <c r="MFF249" s="22"/>
      <c r="MFG249" s="22"/>
      <c r="MFH249" s="22"/>
      <c r="MFI249" s="22"/>
      <c r="MFJ249" s="22"/>
      <c r="MFK249" s="22"/>
      <c r="MFL249" s="22"/>
      <c r="MFM249" s="22"/>
      <c r="MFN249" s="22"/>
      <c r="MFO249" s="22"/>
      <c r="MFP249" s="22"/>
      <c r="MFQ249" s="22"/>
      <c r="MFR249" s="22"/>
      <c r="MFS249" s="22"/>
      <c r="MFT249" s="22"/>
      <c r="MFU249" s="22"/>
      <c r="MFV249" s="22"/>
      <c r="MFW249" s="22"/>
      <c r="MFX249" s="22"/>
      <c r="MFY249" s="22"/>
      <c r="MFZ249" s="22"/>
      <c r="MGA249" s="22"/>
      <c r="MGB249" s="22"/>
      <c r="MGC249" s="22"/>
      <c r="MGD249" s="22"/>
      <c r="MGE249" s="22"/>
      <c r="MGF249" s="22"/>
      <c r="MGG249" s="22"/>
      <c r="MGH249" s="22"/>
      <c r="MGI249" s="22"/>
      <c r="MGJ249" s="22"/>
      <c r="MGK249" s="22"/>
      <c r="MGL249" s="22"/>
      <c r="MGM249" s="22"/>
      <c r="MGN249" s="22"/>
      <c r="MGO249" s="22"/>
      <c r="MGP249" s="22"/>
      <c r="MGQ249" s="22"/>
      <c r="MGR249" s="22"/>
      <c r="MGS249" s="22"/>
      <c r="MGT249" s="22"/>
      <c r="MGU249" s="22"/>
      <c r="MGV249" s="22"/>
      <c r="MGW249" s="22"/>
      <c r="MGX249" s="22"/>
      <c r="MGY249" s="22"/>
      <c r="MGZ249" s="22"/>
      <c r="MHA249" s="22"/>
      <c r="MHB249" s="22"/>
      <c r="MHC249" s="22"/>
      <c r="MHD249" s="22"/>
      <c r="MHE249" s="22"/>
      <c r="MHF249" s="22"/>
      <c r="MHG249" s="22"/>
      <c r="MHH249" s="22"/>
      <c r="MHI249" s="22"/>
      <c r="MHJ249" s="22"/>
      <c r="MHK249" s="22"/>
      <c r="MHL249" s="22"/>
      <c r="MHM249" s="22"/>
      <c r="MHN249" s="22"/>
      <c r="MHO249" s="22"/>
      <c r="MHP249" s="22"/>
      <c r="MHQ249" s="22"/>
      <c r="MHR249" s="22"/>
      <c r="MHS249" s="22"/>
      <c r="MHT249" s="22"/>
      <c r="MHU249" s="22"/>
      <c r="MHV249" s="22"/>
      <c r="MHW249" s="22"/>
      <c r="MHX249" s="22"/>
      <c r="MHY249" s="22"/>
      <c r="MHZ249" s="22"/>
      <c r="MIA249" s="22"/>
      <c r="MIB249" s="22"/>
      <c r="MIC249" s="22"/>
      <c r="MID249" s="22"/>
      <c r="MIE249" s="22"/>
      <c r="MIF249" s="22"/>
      <c r="MIG249" s="22"/>
      <c r="MIH249" s="22"/>
      <c r="MII249" s="22"/>
      <c r="MIJ249" s="22"/>
      <c r="MIK249" s="22"/>
      <c r="MIL249" s="22"/>
      <c r="MIM249" s="22"/>
      <c r="MIN249" s="22"/>
      <c r="MIO249" s="22"/>
      <c r="MIP249" s="22"/>
      <c r="MIQ249" s="22"/>
      <c r="MIR249" s="22"/>
      <c r="MIS249" s="22"/>
      <c r="MIT249" s="22"/>
      <c r="MIU249" s="22"/>
      <c r="MIV249" s="22"/>
      <c r="MIW249" s="22"/>
      <c r="MIX249" s="22"/>
      <c r="MIY249" s="22"/>
      <c r="MIZ249" s="22"/>
      <c r="MJA249" s="22"/>
      <c r="MJB249" s="22"/>
      <c r="MJC249" s="22"/>
      <c r="MJD249" s="22"/>
      <c r="MJE249" s="22"/>
      <c r="MJF249" s="22"/>
      <c r="MJG249" s="22"/>
      <c r="MJH249" s="22"/>
      <c r="MJI249" s="22"/>
      <c r="MJJ249" s="22"/>
      <c r="MJK249" s="22"/>
      <c r="MJL249" s="22"/>
      <c r="MJM249" s="22"/>
      <c r="MJN249" s="22"/>
      <c r="MJO249" s="22"/>
      <c r="MJP249" s="22"/>
      <c r="MJQ249" s="22"/>
      <c r="MJR249" s="22"/>
      <c r="MJS249" s="22"/>
      <c r="MJT249" s="22"/>
      <c r="MJU249" s="22"/>
      <c r="MJV249" s="22"/>
      <c r="MJW249" s="22"/>
      <c r="MJX249" s="22"/>
      <c r="MJY249" s="22"/>
      <c r="MJZ249" s="22"/>
      <c r="MKA249" s="22"/>
      <c r="MKB249" s="22"/>
      <c r="MKC249" s="22"/>
      <c r="MKD249" s="22"/>
      <c r="MKE249" s="22"/>
      <c r="MKF249" s="22"/>
      <c r="MKG249" s="22"/>
      <c r="MKH249" s="22"/>
      <c r="MKI249" s="22"/>
      <c r="MKJ249" s="22"/>
      <c r="MKK249" s="22"/>
      <c r="MKL249" s="22"/>
      <c r="MKM249" s="22"/>
      <c r="MKN249" s="22"/>
      <c r="MKO249" s="22"/>
      <c r="MKP249" s="22"/>
      <c r="MKQ249" s="22"/>
      <c r="MKR249" s="22"/>
      <c r="MKS249" s="22"/>
      <c r="MKT249" s="22"/>
      <c r="MKU249" s="22"/>
      <c r="MKV249" s="22"/>
      <c r="MKW249" s="22"/>
      <c r="MKX249" s="22"/>
      <c r="MKY249" s="22"/>
      <c r="MKZ249" s="22"/>
      <c r="MLA249" s="22"/>
      <c r="MLB249" s="22"/>
      <c r="MLC249" s="22"/>
      <c r="MLD249" s="22"/>
      <c r="MLE249" s="22"/>
      <c r="MLF249" s="22"/>
      <c r="MLG249" s="22"/>
      <c r="MLH249" s="22"/>
      <c r="MLI249" s="22"/>
      <c r="MLJ249" s="22"/>
      <c r="MLK249" s="22"/>
      <c r="MLL249" s="22"/>
      <c r="MLM249" s="22"/>
      <c r="MLN249" s="22"/>
      <c r="MLO249" s="22"/>
      <c r="MLP249" s="22"/>
      <c r="MLQ249" s="22"/>
      <c r="MLR249" s="22"/>
      <c r="MLS249" s="22"/>
      <c r="MLT249" s="22"/>
      <c r="MLU249" s="22"/>
      <c r="MLV249" s="22"/>
      <c r="MLW249" s="22"/>
      <c r="MLX249" s="22"/>
      <c r="MLY249" s="22"/>
      <c r="MLZ249" s="22"/>
      <c r="MMA249" s="22"/>
      <c r="MMB249" s="22"/>
      <c r="MMC249" s="22"/>
      <c r="MMD249" s="22"/>
      <c r="MME249" s="22"/>
      <c r="MMF249" s="22"/>
      <c r="MMG249" s="22"/>
      <c r="MMH249" s="22"/>
      <c r="MMI249" s="22"/>
      <c r="MMJ249" s="22"/>
      <c r="MMK249" s="22"/>
      <c r="MML249" s="22"/>
      <c r="MMM249" s="22"/>
      <c r="MMN249" s="22"/>
      <c r="MMO249" s="22"/>
      <c r="MMP249" s="22"/>
      <c r="MMQ249" s="22"/>
      <c r="MMR249" s="22"/>
      <c r="MMS249" s="22"/>
      <c r="MMT249" s="22"/>
      <c r="MMU249" s="22"/>
      <c r="MMV249" s="22"/>
      <c r="MMW249" s="22"/>
      <c r="MMX249" s="22"/>
      <c r="MMY249" s="22"/>
      <c r="MMZ249" s="22"/>
      <c r="MNA249" s="22"/>
      <c r="MNB249" s="22"/>
      <c r="MNC249" s="22"/>
      <c r="MND249" s="22"/>
      <c r="MNE249" s="22"/>
      <c r="MNF249" s="22"/>
      <c r="MNG249" s="22"/>
      <c r="MNH249" s="22"/>
      <c r="MNI249" s="22"/>
      <c r="MNJ249" s="22"/>
      <c r="MNK249" s="22"/>
      <c r="MNL249" s="22"/>
      <c r="MNM249" s="22"/>
      <c r="MNN249" s="22"/>
      <c r="MNO249" s="22"/>
      <c r="MNP249" s="22"/>
      <c r="MNQ249" s="22"/>
      <c r="MNR249" s="22"/>
      <c r="MNS249" s="22"/>
      <c r="MNT249" s="22"/>
      <c r="MNU249" s="22"/>
      <c r="MNV249" s="22"/>
      <c r="MNW249" s="22"/>
      <c r="MNX249" s="22"/>
      <c r="MNY249" s="22"/>
      <c r="MNZ249" s="22"/>
      <c r="MOA249" s="22"/>
      <c r="MOB249" s="22"/>
      <c r="MOC249" s="22"/>
      <c r="MOD249" s="22"/>
      <c r="MOE249" s="22"/>
      <c r="MOF249" s="22"/>
      <c r="MOG249" s="22"/>
      <c r="MOH249" s="22"/>
      <c r="MOI249" s="22"/>
      <c r="MOJ249" s="22"/>
      <c r="MOK249" s="22"/>
      <c r="MOL249" s="22"/>
      <c r="MOM249" s="22"/>
      <c r="MON249" s="22"/>
      <c r="MOO249" s="22"/>
      <c r="MOP249" s="22"/>
      <c r="MOQ249" s="22"/>
      <c r="MOR249" s="22"/>
      <c r="MOS249" s="22"/>
      <c r="MOT249" s="22"/>
      <c r="MOU249" s="22"/>
      <c r="MOV249" s="22"/>
      <c r="MOW249" s="22"/>
      <c r="MOX249" s="22"/>
      <c r="MOY249" s="22"/>
      <c r="MOZ249" s="22"/>
      <c r="MPA249" s="22"/>
      <c r="MPB249" s="22"/>
      <c r="MPC249" s="22"/>
      <c r="MPD249" s="22"/>
      <c r="MPE249" s="22"/>
      <c r="MPF249" s="22"/>
      <c r="MPG249" s="22"/>
      <c r="MPH249" s="22"/>
      <c r="MPI249" s="22"/>
      <c r="MPJ249" s="22"/>
      <c r="MPK249" s="22"/>
      <c r="MPL249" s="22"/>
      <c r="MPM249" s="22"/>
      <c r="MPN249" s="22"/>
      <c r="MPO249" s="22"/>
      <c r="MPP249" s="22"/>
      <c r="MPQ249" s="22"/>
      <c r="MPR249" s="22"/>
      <c r="MPS249" s="22"/>
      <c r="MPT249" s="22"/>
      <c r="MPU249" s="22"/>
      <c r="MPV249" s="22"/>
      <c r="MPW249" s="22"/>
      <c r="MPX249" s="22"/>
      <c r="MPY249" s="22"/>
      <c r="MPZ249" s="22"/>
      <c r="MQA249" s="22"/>
      <c r="MQB249" s="22"/>
      <c r="MQC249" s="22"/>
      <c r="MQD249" s="22"/>
      <c r="MQE249" s="22"/>
      <c r="MQF249" s="22"/>
      <c r="MQG249" s="22"/>
      <c r="MQH249" s="22"/>
      <c r="MQI249" s="22"/>
      <c r="MQJ249" s="22"/>
      <c r="MQK249" s="22"/>
      <c r="MQL249" s="22"/>
      <c r="MQM249" s="22"/>
      <c r="MQN249" s="22"/>
      <c r="MQO249" s="22"/>
      <c r="MQP249" s="22"/>
      <c r="MQQ249" s="22"/>
      <c r="MQR249" s="22"/>
      <c r="MQS249" s="22"/>
      <c r="MQT249" s="22"/>
      <c r="MQU249" s="22"/>
      <c r="MQV249" s="22"/>
      <c r="MQW249" s="22"/>
      <c r="MQX249" s="22"/>
      <c r="MQY249" s="22"/>
      <c r="MQZ249" s="22"/>
      <c r="MRA249" s="22"/>
      <c r="MRB249" s="22"/>
      <c r="MRC249" s="22"/>
      <c r="MRD249" s="22"/>
      <c r="MRE249" s="22"/>
      <c r="MRF249" s="22"/>
      <c r="MRG249" s="22"/>
      <c r="MRH249" s="22"/>
      <c r="MRI249" s="22"/>
      <c r="MRJ249" s="22"/>
      <c r="MRK249" s="22"/>
      <c r="MRL249" s="22"/>
      <c r="MRM249" s="22"/>
      <c r="MRN249" s="22"/>
      <c r="MRO249" s="22"/>
      <c r="MRP249" s="22"/>
      <c r="MRQ249" s="22"/>
      <c r="MRR249" s="22"/>
      <c r="MRS249" s="22"/>
      <c r="MRT249" s="22"/>
      <c r="MRU249" s="22"/>
      <c r="MRV249" s="22"/>
      <c r="MRW249" s="22"/>
      <c r="MRX249" s="22"/>
      <c r="MRY249" s="22"/>
      <c r="MRZ249" s="22"/>
      <c r="MSA249" s="22"/>
      <c r="MSB249" s="22"/>
      <c r="MSC249" s="22"/>
      <c r="MSD249" s="22"/>
      <c r="MSE249" s="22"/>
      <c r="MSF249" s="22"/>
      <c r="MSG249" s="22"/>
      <c r="MSH249" s="22"/>
      <c r="MSI249" s="22"/>
      <c r="MSJ249" s="22"/>
      <c r="MSK249" s="22"/>
      <c r="MSL249" s="22"/>
      <c r="MSM249" s="22"/>
      <c r="MSN249" s="22"/>
      <c r="MSO249" s="22"/>
      <c r="MSP249" s="22"/>
      <c r="MSQ249" s="22"/>
      <c r="MSR249" s="22"/>
      <c r="MSS249" s="22"/>
      <c r="MST249" s="22"/>
      <c r="MSU249" s="22"/>
      <c r="MSV249" s="22"/>
      <c r="MSW249" s="22"/>
      <c r="MSX249" s="22"/>
      <c r="MSY249" s="22"/>
      <c r="MSZ249" s="22"/>
      <c r="MTA249" s="22"/>
      <c r="MTB249" s="22"/>
      <c r="MTC249" s="22"/>
      <c r="MTD249" s="22"/>
      <c r="MTE249" s="22"/>
      <c r="MTF249" s="22"/>
      <c r="MTG249" s="22"/>
      <c r="MTH249" s="22"/>
      <c r="MTI249" s="22"/>
      <c r="MTJ249" s="22"/>
      <c r="MTK249" s="22"/>
      <c r="MTL249" s="22"/>
      <c r="MTM249" s="22"/>
      <c r="MTN249" s="22"/>
      <c r="MTO249" s="22"/>
      <c r="MTP249" s="22"/>
      <c r="MTQ249" s="22"/>
      <c r="MTR249" s="22"/>
      <c r="MTS249" s="22"/>
      <c r="MTT249" s="22"/>
      <c r="MTU249" s="22"/>
      <c r="MTV249" s="22"/>
      <c r="MTW249" s="22"/>
      <c r="MTX249" s="22"/>
      <c r="MTY249" s="22"/>
      <c r="MTZ249" s="22"/>
      <c r="MUA249" s="22"/>
      <c r="MUB249" s="22"/>
      <c r="MUC249" s="22"/>
      <c r="MUD249" s="22"/>
      <c r="MUE249" s="22"/>
      <c r="MUF249" s="22"/>
      <c r="MUG249" s="22"/>
      <c r="MUH249" s="22"/>
      <c r="MUI249" s="22"/>
      <c r="MUJ249" s="22"/>
      <c r="MUK249" s="22"/>
      <c r="MUL249" s="22"/>
      <c r="MUM249" s="22"/>
      <c r="MUN249" s="22"/>
      <c r="MUO249" s="22"/>
      <c r="MUP249" s="22"/>
      <c r="MUQ249" s="22"/>
      <c r="MUR249" s="22"/>
      <c r="MUS249" s="22"/>
      <c r="MUT249" s="22"/>
      <c r="MUU249" s="22"/>
      <c r="MUV249" s="22"/>
      <c r="MUW249" s="22"/>
      <c r="MUX249" s="22"/>
      <c r="MUY249" s="22"/>
      <c r="MUZ249" s="22"/>
      <c r="MVA249" s="22"/>
      <c r="MVB249" s="22"/>
      <c r="MVC249" s="22"/>
      <c r="MVD249" s="22"/>
      <c r="MVE249" s="22"/>
      <c r="MVF249" s="22"/>
      <c r="MVG249" s="22"/>
      <c r="MVH249" s="22"/>
      <c r="MVI249" s="22"/>
      <c r="MVJ249" s="22"/>
      <c r="MVK249" s="22"/>
      <c r="MVL249" s="22"/>
      <c r="MVM249" s="22"/>
      <c r="MVN249" s="22"/>
      <c r="MVO249" s="22"/>
      <c r="MVP249" s="22"/>
      <c r="MVQ249" s="22"/>
      <c r="MVR249" s="22"/>
      <c r="MVS249" s="22"/>
      <c r="MVT249" s="22"/>
      <c r="MVU249" s="22"/>
      <c r="MVV249" s="22"/>
      <c r="MVW249" s="22"/>
      <c r="MVX249" s="22"/>
      <c r="MVY249" s="22"/>
      <c r="MVZ249" s="22"/>
      <c r="MWA249" s="22"/>
      <c r="MWB249" s="22"/>
      <c r="MWC249" s="22"/>
      <c r="MWD249" s="22"/>
      <c r="MWE249" s="22"/>
      <c r="MWF249" s="22"/>
      <c r="MWG249" s="22"/>
      <c r="MWH249" s="22"/>
      <c r="MWI249" s="22"/>
      <c r="MWJ249" s="22"/>
      <c r="MWK249" s="22"/>
      <c r="MWL249" s="22"/>
      <c r="MWM249" s="22"/>
      <c r="MWN249" s="22"/>
      <c r="MWO249" s="22"/>
      <c r="MWP249" s="22"/>
      <c r="MWQ249" s="22"/>
      <c r="MWR249" s="22"/>
      <c r="MWS249" s="22"/>
      <c r="MWT249" s="22"/>
      <c r="MWU249" s="22"/>
      <c r="MWV249" s="22"/>
      <c r="MWW249" s="22"/>
      <c r="MWX249" s="22"/>
      <c r="MWY249" s="22"/>
      <c r="MWZ249" s="22"/>
      <c r="MXA249" s="22"/>
      <c r="MXB249" s="22"/>
      <c r="MXC249" s="22"/>
      <c r="MXD249" s="22"/>
      <c r="MXE249" s="22"/>
      <c r="MXF249" s="22"/>
      <c r="MXG249" s="22"/>
      <c r="MXH249" s="22"/>
      <c r="MXI249" s="22"/>
      <c r="MXJ249" s="22"/>
      <c r="MXK249" s="22"/>
      <c r="MXL249" s="22"/>
      <c r="MXM249" s="22"/>
      <c r="MXN249" s="22"/>
      <c r="MXO249" s="22"/>
      <c r="MXP249" s="22"/>
      <c r="MXQ249" s="22"/>
      <c r="MXR249" s="22"/>
      <c r="MXS249" s="22"/>
      <c r="MXT249" s="22"/>
      <c r="MXU249" s="22"/>
      <c r="MXV249" s="22"/>
      <c r="MXW249" s="22"/>
      <c r="MXX249" s="22"/>
      <c r="MXY249" s="22"/>
      <c r="MXZ249" s="22"/>
      <c r="MYA249" s="22"/>
      <c r="MYB249" s="22"/>
      <c r="MYC249" s="22"/>
      <c r="MYD249" s="22"/>
      <c r="MYE249" s="22"/>
      <c r="MYF249" s="22"/>
      <c r="MYG249" s="22"/>
      <c r="MYH249" s="22"/>
      <c r="MYI249" s="22"/>
      <c r="MYJ249" s="22"/>
      <c r="MYK249" s="22"/>
      <c r="MYL249" s="22"/>
      <c r="MYM249" s="22"/>
      <c r="MYN249" s="22"/>
      <c r="MYO249" s="22"/>
      <c r="MYP249" s="22"/>
      <c r="MYQ249" s="22"/>
      <c r="MYR249" s="22"/>
      <c r="MYS249" s="22"/>
      <c r="MYT249" s="22"/>
      <c r="MYU249" s="22"/>
      <c r="MYV249" s="22"/>
      <c r="MYW249" s="22"/>
      <c r="MYX249" s="22"/>
      <c r="MYY249" s="22"/>
      <c r="MYZ249" s="22"/>
      <c r="MZA249" s="22"/>
      <c r="MZB249" s="22"/>
      <c r="MZC249" s="22"/>
      <c r="MZD249" s="22"/>
      <c r="MZE249" s="22"/>
      <c r="MZF249" s="22"/>
      <c r="MZG249" s="22"/>
      <c r="MZH249" s="22"/>
      <c r="MZI249" s="22"/>
      <c r="MZJ249" s="22"/>
      <c r="MZK249" s="22"/>
      <c r="MZL249" s="22"/>
      <c r="MZM249" s="22"/>
      <c r="MZN249" s="22"/>
      <c r="MZO249" s="22"/>
      <c r="MZP249" s="22"/>
      <c r="MZQ249" s="22"/>
      <c r="MZR249" s="22"/>
      <c r="MZS249" s="22"/>
      <c r="MZT249" s="22"/>
      <c r="MZU249" s="22"/>
      <c r="MZV249" s="22"/>
      <c r="MZW249" s="22"/>
      <c r="MZX249" s="22"/>
      <c r="MZY249" s="22"/>
      <c r="MZZ249" s="22"/>
      <c r="NAA249" s="22"/>
      <c r="NAB249" s="22"/>
      <c r="NAC249" s="22"/>
      <c r="NAD249" s="22"/>
      <c r="NAE249" s="22"/>
      <c r="NAF249" s="22"/>
      <c r="NAG249" s="22"/>
      <c r="NAH249" s="22"/>
      <c r="NAI249" s="22"/>
      <c r="NAJ249" s="22"/>
      <c r="NAK249" s="22"/>
      <c r="NAL249" s="22"/>
      <c r="NAM249" s="22"/>
      <c r="NAN249" s="22"/>
      <c r="NAO249" s="22"/>
      <c r="NAP249" s="22"/>
      <c r="NAQ249" s="22"/>
      <c r="NAR249" s="22"/>
      <c r="NAS249" s="22"/>
      <c r="NAT249" s="22"/>
      <c r="NAU249" s="22"/>
      <c r="NAV249" s="22"/>
      <c r="NAW249" s="22"/>
      <c r="NAX249" s="22"/>
      <c r="NAY249" s="22"/>
      <c r="NAZ249" s="22"/>
      <c r="NBA249" s="22"/>
      <c r="NBB249" s="22"/>
      <c r="NBC249" s="22"/>
      <c r="NBD249" s="22"/>
      <c r="NBE249" s="22"/>
      <c r="NBF249" s="22"/>
      <c r="NBG249" s="22"/>
      <c r="NBH249" s="22"/>
      <c r="NBI249" s="22"/>
      <c r="NBJ249" s="22"/>
      <c r="NBK249" s="22"/>
      <c r="NBL249" s="22"/>
      <c r="NBM249" s="22"/>
      <c r="NBN249" s="22"/>
      <c r="NBO249" s="22"/>
      <c r="NBP249" s="22"/>
      <c r="NBQ249" s="22"/>
      <c r="NBR249" s="22"/>
      <c r="NBS249" s="22"/>
      <c r="NBT249" s="22"/>
      <c r="NBU249" s="22"/>
      <c r="NBV249" s="22"/>
      <c r="NBW249" s="22"/>
      <c r="NBX249" s="22"/>
      <c r="NBY249" s="22"/>
      <c r="NBZ249" s="22"/>
      <c r="NCA249" s="22"/>
      <c r="NCB249" s="22"/>
      <c r="NCC249" s="22"/>
      <c r="NCD249" s="22"/>
      <c r="NCE249" s="22"/>
      <c r="NCF249" s="22"/>
      <c r="NCG249" s="22"/>
      <c r="NCH249" s="22"/>
      <c r="NCI249" s="22"/>
      <c r="NCJ249" s="22"/>
      <c r="NCK249" s="22"/>
      <c r="NCL249" s="22"/>
      <c r="NCM249" s="22"/>
      <c r="NCN249" s="22"/>
      <c r="NCO249" s="22"/>
      <c r="NCP249" s="22"/>
      <c r="NCQ249" s="22"/>
      <c r="NCR249" s="22"/>
      <c r="NCS249" s="22"/>
      <c r="NCT249" s="22"/>
      <c r="NCU249" s="22"/>
      <c r="NCV249" s="22"/>
      <c r="NCW249" s="22"/>
      <c r="NCX249" s="22"/>
      <c r="NCY249" s="22"/>
      <c r="NCZ249" s="22"/>
      <c r="NDA249" s="22"/>
      <c r="NDB249" s="22"/>
      <c r="NDC249" s="22"/>
      <c r="NDD249" s="22"/>
      <c r="NDE249" s="22"/>
      <c r="NDF249" s="22"/>
      <c r="NDG249" s="22"/>
      <c r="NDH249" s="22"/>
      <c r="NDI249" s="22"/>
      <c r="NDJ249" s="22"/>
      <c r="NDK249" s="22"/>
      <c r="NDL249" s="22"/>
      <c r="NDM249" s="22"/>
      <c r="NDN249" s="22"/>
      <c r="NDO249" s="22"/>
      <c r="NDP249" s="22"/>
      <c r="NDQ249" s="22"/>
      <c r="NDR249" s="22"/>
      <c r="NDS249" s="22"/>
      <c r="NDT249" s="22"/>
      <c r="NDU249" s="22"/>
      <c r="NDV249" s="22"/>
      <c r="NDW249" s="22"/>
      <c r="NDX249" s="22"/>
      <c r="NDY249" s="22"/>
      <c r="NDZ249" s="22"/>
      <c r="NEA249" s="22"/>
      <c r="NEB249" s="22"/>
      <c r="NEC249" s="22"/>
      <c r="NED249" s="22"/>
      <c r="NEE249" s="22"/>
      <c r="NEF249" s="22"/>
      <c r="NEG249" s="22"/>
      <c r="NEH249" s="22"/>
      <c r="NEI249" s="22"/>
      <c r="NEJ249" s="22"/>
      <c r="NEK249" s="22"/>
      <c r="NEL249" s="22"/>
      <c r="NEM249" s="22"/>
      <c r="NEN249" s="22"/>
      <c r="NEO249" s="22"/>
      <c r="NEP249" s="22"/>
      <c r="NEQ249" s="22"/>
      <c r="NER249" s="22"/>
      <c r="NES249" s="22"/>
      <c r="NET249" s="22"/>
      <c r="NEU249" s="22"/>
      <c r="NEV249" s="22"/>
      <c r="NEW249" s="22"/>
      <c r="NEX249" s="22"/>
      <c r="NEY249" s="22"/>
      <c r="NEZ249" s="22"/>
      <c r="NFA249" s="22"/>
      <c r="NFB249" s="22"/>
      <c r="NFC249" s="22"/>
      <c r="NFD249" s="22"/>
      <c r="NFE249" s="22"/>
      <c r="NFF249" s="22"/>
      <c r="NFG249" s="22"/>
      <c r="NFH249" s="22"/>
      <c r="NFI249" s="22"/>
      <c r="NFJ249" s="22"/>
      <c r="NFK249" s="22"/>
      <c r="NFL249" s="22"/>
      <c r="NFM249" s="22"/>
      <c r="NFN249" s="22"/>
      <c r="NFO249" s="22"/>
      <c r="NFP249" s="22"/>
      <c r="NFQ249" s="22"/>
      <c r="NFR249" s="22"/>
      <c r="NFS249" s="22"/>
      <c r="NFT249" s="22"/>
      <c r="NFU249" s="22"/>
      <c r="NFV249" s="22"/>
      <c r="NFW249" s="22"/>
      <c r="NFX249" s="22"/>
      <c r="NFY249" s="22"/>
      <c r="NFZ249" s="22"/>
      <c r="NGA249" s="22"/>
      <c r="NGB249" s="22"/>
      <c r="NGC249" s="22"/>
      <c r="NGD249" s="22"/>
      <c r="NGE249" s="22"/>
      <c r="NGF249" s="22"/>
      <c r="NGG249" s="22"/>
      <c r="NGH249" s="22"/>
      <c r="NGI249" s="22"/>
      <c r="NGJ249" s="22"/>
      <c r="NGK249" s="22"/>
      <c r="NGL249" s="22"/>
      <c r="NGM249" s="22"/>
      <c r="NGN249" s="22"/>
      <c r="NGO249" s="22"/>
      <c r="NGP249" s="22"/>
      <c r="NGQ249" s="22"/>
      <c r="NGR249" s="22"/>
      <c r="NGS249" s="22"/>
      <c r="NGT249" s="22"/>
      <c r="NGU249" s="22"/>
      <c r="NGV249" s="22"/>
      <c r="NGW249" s="22"/>
      <c r="NGX249" s="22"/>
      <c r="NGY249" s="22"/>
      <c r="NGZ249" s="22"/>
      <c r="NHA249" s="22"/>
      <c r="NHB249" s="22"/>
      <c r="NHC249" s="22"/>
      <c r="NHD249" s="22"/>
      <c r="NHE249" s="22"/>
      <c r="NHF249" s="22"/>
      <c r="NHG249" s="22"/>
      <c r="NHH249" s="22"/>
      <c r="NHI249" s="22"/>
      <c r="NHJ249" s="22"/>
      <c r="NHK249" s="22"/>
      <c r="NHL249" s="22"/>
      <c r="NHM249" s="22"/>
      <c r="NHN249" s="22"/>
      <c r="NHO249" s="22"/>
      <c r="NHP249" s="22"/>
      <c r="NHQ249" s="22"/>
      <c r="NHR249" s="22"/>
      <c r="NHS249" s="22"/>
      <c r="NHT249" s="22"/>
      <c r="NHU249" s="22"/>
      <c r="NHV249" s="22"/>
      <c r="NHW249" s="22"/>
      <c r="NHX249" s="22"/>
      <c r="NHY249" s="22"/>
      <c r="NHZ249" s="22"/>
      <c r="NIA249" s="22"/>
      <c r="NIB249" s="22"/>
      <c r="NIC249" s="22"/>
      <c r="NID249" s="22"/>
      <c r="NIE249" s="22"/>
      <c r="NIF249" s="22"/>
      <c r="NIG249" s="22"/>
      <c r="NIH249" s="22"/>
      <c r="NII249" s="22"/>
      <c r="NIJ249" s="22"/>
      <c r="NIK249" s="22"/>
      <c r="NIL249" s="22"/>
      <c r="NIM249" s="22"/>
      <c r="NIN249" s="22"/>
      <c r="NIO249" s="22"/>
      <c r="NIP249" s="22"/>
      <c r="NIQ249" s="22"/>
      <c r="NIR249" s="22"/>
      <c r="NIS249" s="22"/>
      <c r="NIT249" s="22"/>
      <c r="NIU249" s="22"/>
      <c r="NIV249" s="22"/>
      <c r="NIW249" s="22"/>
      <c r="NIX249" s="22"/>
      <c r="NIY249" s="22"/>
      <c r="NIZ249" s="22"/>
      <c r="NJA249" s="22"/>
      <c r="NJB249" s="22"/>
      <c r="NJC249" s="22"/>
      <c r="NJD249" s="22"/>
      <c r="NJE249" s="22"/>
      <c r="NJF249" s="22"/>
      <c r="NJG249" s="22"/>
      <c r="NJH249" s="22"/>
      <c r="NJI249" s="22"/>
      <c r="NJJ249" s="22"/>
      <c r="NJK249" s="22"/>
      <c r="NJL249" s="22"/>
      <c r="NJM249" s="22"/>
      <c r="NJN249" s="22"/>
      <c r="NJO249" s="22"/>
      <c r="NJP249" s="22"/>
      <c r="NJQ249" s="22"/>
      <c r="NJR249" s="22"/>
      <c r="NJS249" s="22"/>
      <c r="NJT249" s="22"/>
      <c r="NJU249" s="22"/>
      <c r="NJV249" s="22"/>
      <c r="NJW249" s="22"/>
      <c r="NJX249" s="22"/>
      <c r="NJY249" s="22"/>
      <c r="NJZ249" s="22"/>
      <c r="NKA249" s="22"/>
      <c r="NKB249" s="22"/>
      <c r="NKC249" s="22"/>
      <c r="NKD249" s="22"/>
      <c r="NKE249" s="22"/>
      <c r="NKF249" s="22"/>
      <c r="NKG249" s="22"/>
      <c r="NKH249" s="22"/>
      <c r="NKI249" s="22"/>
      <c r="NKJ249" s="22"/>
      <c r="NKK249" s="22"/>
      <c r="NKL249" s="22"/>
      <c r="NKM249" s="22"/>
      <c r="NKN249" s="22"/>
      <c r="NKO249" s="22"/>
      <c r="NKP249" s="22"/>
      <c r="NKQ249" s="22"/>
      <c r="NKR249" s="22"/>
      <c r="NKS249" s="22"/>
      <c r="NKT249" s="22"/>
      <c r="NKU249" s="22"/>
      <c r="NKV249" s="22"/>
      <c r="NKW249" s="22"/>
      <c r="NKX249" s="22"/>
      <c r="NKY249" s="22"/>
      <c r="NKZ249" s="22"/>
      <c r="NLA249" s="22"/>
      <c r="NLB249" s="22"/>
      <c r="NLC249" s="22"/>
      <c r="NLD249" s="22"/>
      <c r="NLE249" s="22"/>
      <c r="NLF249" s="22"/>
      <c r="NLG249" s="22"/>
      <c r="NLH249" s="22"/>
      <c r="NLI249" s="22"/>
      <c r="NLJ249" s="22"/>
      <c r="NLK249" s="22"/>
      <c r="NLL249" s="22"/>
      <c r="NLM249" s="22"/>
      <c r="NLN249" s="22"/>
      <c r="NLO249" s="22"/>
      <c r="NLP249" s="22"/>
      <c r="NLQ249" s="22"/>
      <c r="NLR249" s="22"/>
      <c r="NLS249" s="22"/>
      <c r="NLT249" s="22"/>
      <c r="NLU249" s="22"/>
      <c r="NLV249" s="22"/>
      <c r="NLW249" s="22"/>
      <c r="NLX249" s="22"/>
      <c r="NLY249" s="22"/>
      <c r="NLZ249" s="22"/>
      <c r="NMA249" s="22"/>
      <c r="NMB249" s="22"/>
      <c r="NMC249" s="22"/>
      <c r="NMD249" s="22"/>
      <c r="NME249" s="22"/>
      <c r="NMF249" s="22"/>
      <c r="NMG249" s="22"/>
      <c r="NMH249" s="22"/>
      <c r="NMI249" s="22"/>
      <c r="NMJ249" s="22"/>
      <c r="NMK249" s="22"/>
      <c r="NML249" s="22"/>
      <c r="NMM249" s="22"/>
      <c r="NMN249" s="22"/>
      <c r="NMO249" s="22"/>
      <c r="NMP249" s="22"/>
      <c r="NMQ249" s="22"/>
      <c r="NMR249" s="22"/>
      <c r="NMS249" s="22"/>
      <c r="NMT249" s="22"/>
      <c r="NMU249" s="22"/>
      <c r="NMV249" s="22"/>
      <c r="NMW249" s="22"/>
      <c r="NMX249" s="22"/>
      <c r="NMY249" s="22"/>
      <c r="NMZ249" s="22"/>
      <c r="NNA249" s="22"/>
      <c r="NNB249" s="22"/>
      <c r="NNC249" s="22"/>
      <c r="NND249" s="22"/>
      <c r="NNE249" s="22"/>
      <c r="NNF249" s="22"/>
      <c r="NNG249" s="22"/>
      <c r="NNH249" s="22"/>
      <c r="NNI249" s="22"/>
      <c r="NNJ249" s="22"/>
      <c r="NNK249" s="22"/>
      <c r="NNL249" s="22"/>
      <c r="NNM249" s="22"/>
      <c r="NNN249" s="22"/>
      <c r="NNO249" s="22"/>
      <c r="NNP249" s="22"/>
      <c r="NNQ249" s="22"/>
      <c r="NNR249" s="22"/>
      <c r="NNS249" s="22"/>
      <c r="NNT249" s="22"/>
      <c r="NNU249" s="22"/>
      <c r="NNV249" s="22"/>
      <c r="NNW249" s="22"/>
      <c r="NNX249" s="22"/>
      <c r="NNY249" s="22"/>
      <c r="NNZ249" s="22"/>
      <c r="NOA249" s="22"/>
      <c r="NOB249" s="22"/>
      <c r="NOC249" s="22"/>
      <c r="NOD249" s="22"/>
      <c r="NOE249" s="22"/>
      <c r="NOF249" s="22"/>
      <c r="NOG249" s="22"/>
      <c r="NOH249" s="22"/>
      <c r="NOI249" s="22"/>
      <c r="NOJ249" s="22"/>
      <c r="NOK249" s="22"/>
      <c r="NOL249" s="22"/>
      <c r="NOM249" s="22"/>
      <c r="NON249" s="22"/>
      <c r="NOO249" s="22"/>
      <c r="NOP249" s="22"/>
      <c r="NOQ249" s="22"/>
      <c r="NOR249" s="22"/>
      <c r="NOS249" s="22"/>
      <c r="NOT249" s="22"/>
      <c r="NOU249" s="22"/>
      <c r="NOV249" s="22"/>
      <c r="NOW249" s="22"/>
      <c r="NOX249" s="22"/>
      <c r="NOY249" s="22"/>
      <c r="NOZ249" s="22"/>
      <c r="NPA249" s="22"/>
      <c r="NPB249" s="22"/>
      <c r="NPC249" s="22"/>
      <c r="NPD249" s="22"/>
      <c r="NPE249" s="22"/>
      <c r="NPF249" s="22"/>
      <c r="NPG249" s="22"/>
      <c r="NPH249" s="22"/>
      <c r="NPI249" s="22"/>
      <c r="NPJ249" s="22"/>
      <c r="NPK249" s="22"/>
      <c r="NPL249" s="22"/>
      <c r="NPM249" s="22"/>
      <c r="NPN249" s="22"/>
      <c r="NPO249" s="22"/>
      <c r="NPP249" s="22"/>
      <c r="NPQ249" s="22"/>
      <c r="NPR249" s="22"/>
      <c r="NPS249" s="22"/>
      <c r="NPT249" s="22"/>
      <c r="NPU249" s="22"/>
      <c r="NPV249" s="22"/>
      <c r="NPW249" s="22"/>
      <c r="NPX249" s="22"/>
      <c r="NPY249" s="22"/>
      <c r="NPZ249" s="22"/>
      <c r="NQA249" s="22"/>
      <c r="NQB249" s="22"/>
      <c r="NQC249" s="22"/>
      <c r="NQD249" s="22"/>
      <c r="NQE249" s="22"/>
      <c r="NQF249" s="22"/>
      <c r="NQG249" s="22"/>
      <c r="NQH249" s="22"/>
      <c r="NQI249" s="22"/>
      <c r="NQJ249" s="22"/>
      <c r="NQK249" s="22"/>
      <c r="NQL249" s="22"/>
      <c r="NQM249" s="22"/>
      <c r="NQN249" s="22"/>
      <c r="NQO249" s="22"/>
      <c r="NQP249" s="22"/>
      <c r="NQQ249" s="22"/>
      <c r="NQR249" s="22"/>
      <c r="NQS249" s="22"/>
      <c r="NQT249" s="22"/>
      <c r="NQU249" s="22"/>
      <c r="NQV249" s="22"/>
      <c r="NQW249" s="22"/>
      <c r="NQX249" s="22"/>
      <c r="NQY249" s="22"/>
      <c r="NQZ249" s="22"/>
      <c r="NRA249" s="22"/>
      <c r="NRB249" s="22"/>
      <c r="NRC249" s="22"/>
      <c r="NRD249" s="22"/>
      <c r="NRE249" s="22"/>
      <c r="NRF249" s="22"/>
      <c r="NRG249" s="22"/>
      <c r="NRH249" s="22"/>
      <c r="NRI249" s="22"/>
      <c r="NRJ249" s="22"/>
      <c r="NRK249" s="22"/>
      <c r="NRL249" s="22"/>
      <c r="NRM249" s="22"/>
      <c r="NRN249" s="22"/>
      <c r="NRO249" s="22"/>
      <c r="NRP249" s="22"/>
      <c r="NRQ249" s="22"/>
      <c r="NRR249" s="22"/>
      <c r="NRS249" s="22"/>
      <c r="NRT249" s="22"/>
      <c r="NRU249" s="22"/>
      <c r="NRV249" s="22"/>
      <c r="NRW249" s="22"/>
      <c r="NRX249" s="22"/>
      <c r="NRY249" s="22"/>
      <c r="NRZ249" s="22"/>
      <c r="NSA249" s="22"/>
      <c r="NSB249" s="22"/>
      <c r="NSC249" s="22"/>
      <c r="NSD249" s="22"/>
      <c r="NSE249" s="22"/>
      <c r="NSF249" s="22"/>
      <c r="NSG249" s="22"/>
      <c r="NSH249" s="22"/>
      <c r="NSI249" s="22"/>
      <c r="NSJ249" s="22"/>
      <c r="NSK249" s="22"/>
      <c r="NSL249" s="22"/>
      <c r="NSM249" s="22"/>
      <c r="NSN249" s="22"/>
      <c r="NSO249" s="22"/>
      <c r="NSP249" s="22"/>
      <c r="NSQ249" s="22"/>
      <c r="NSR249" s="22"/>
      <c r="NSS249" s="22"/>
      <c r="NST249" s="22"/>
      <c r="NSU249" s="22"/>
      <c r="NSV249" s="22"/>
      <c r="NSW249" s="22"/>
      <c r="NSX249" s="22"/>
      <c r="NSY249" s="22"/>
      <c r="NSZ249" s="22"/>
      <c r="NTA249" s="22"/>
      <c r="NTB249" s="22"/>
      <c r="NTC249" s="22"/>
      <c r="NTD249" s="22"/>
      <c r="NTE249" s="22"/>
      <c r="NTF249" s="22"/>
      <c r="NTG249" s="22"/>
      <c r="NTH249" s="22"/>
      <c r="NTI249" s="22"/>
      <c r="NTJ249" s="22"/>
      <c r="NTK249" s="22"/>
      <c r="NTL249" s="22"/>
      <c r="NTM249" s="22"/>
      <c r="NTN249" s="22"/>
      <c r="NTO249" s="22"/>
      <c r="NTP249" s="22"/>
      <c r="NTQ249" s="22"/>
      <c r="NTR249" s="22"/>
      <c r="NTS249" s="22"/>
      <c r="NTT249" s="22"/>
      <c r="NTU249" s="22"/>
      <c r="NTV249" s="22"/>
      <c r="NTW249" s="22"/>
      <c r="NTX249" s="22"/>
      <c r="NTY249" s="22"/>
      <c r="NTZ249" s="22"/>
      <c r="NUA249" s="22"/>
      <c r="NUB249" s="22"/>
      <c r="NUC249" s="22"/>
      <c r="NUD249" s="22"/>
      <c r="NUE249" s="22"/>
      <c r="NUF249" s="22"/>
      <c r="NUG249" s="22"/>
      <c r="NUH249" s="22"/>
      <c r="NUI249" s="22"/>
      <c r="NUJ249" s="22"/>
      <c r="NUK249" s="22"/>
      <c r="NUL249" s="22"/>
      <c r="NUM249" s="22"/>
      <c r="NUN249" s="22"/>
      <c r="NUO249" s="22"/>
      <c r="NUP249" s="22"/>
      <c r="NUQ249" s="22"/>
      <c r="NUR249" s="22"/>
      <c r="NUS249" s="22"/>
      <c r="NUT249" s="22"/>
      <c r="NUU249" s="22"/>
      <c r="NUV249" s="22"/>
      <c r="NUW249" s="22"/>
      <c r="NUX249" s="22"/>
      <c r="NUY249" s="22"/>
      <c r="NUZ249" s="22"/>
      <c r="NVA249" s="22"/>
      <c r="NVB249" s="22"/>
      <c r="NVC249" s="22"/>
      <c r="NVD249" s="22"/>
      <c r="NVE249" s="22"/>
      <c r="NVF249" s="22"/>
      <c r="NVG249" s="22"/>
      <c r="NVH249" s="22"/>
      <c r="NVI249" s="22"/>
      <c r="NVJ249" s="22"/>
      <c r="NVK249" s="22"/>
      <c r="NVL249" s="22"/>
      <c r="NVM249" s="22"/>
      <c r="NVN249" s="22"/>
      <c r="NVO249" s="22"/>
      <c r="NVP249" s="22"/>
      <c r="NVQ249" s="22"/>
      <c r="NVR249" s="22"/>
      <c r="NVS249" s="22"/>
      <c r="NVT249" s="22"/>
      <c r="NVU249" s="22"/>
      <c r="NVV249" s="22"/>
      <c r="NVW249" s="22"/>
      <c r="NVX249" s="22"/>
      <c r="NVY249" s="22"/>
      <c r="NVZ249" s="22"/>
      <c r="NWA249" s="22"/>
      <c r="NWB249" s="22"/>
      <c r="NWC249" s="22"/>
      <c r="NWD249" s="22"/>
      <c r="NWE249" s="22"/>
      <c r="NWF249" s="22"/>
      <c r="NWG249" s="22"/>
      <c r="NWH249" s="22"/>
      <c r="NWI249" s="22"/>
      <c r="NWJ249" s="22"/>
      <c r="NWK249" s="22"/>
      <c r="NWL249" s="22"/>
      <c r="NWM249" s="22"/>
      <c r="NWN249" s="22"/>
      <c r="NWO249" s="22"/>
      <c r="NWP249" s="22"/>
      <c r="NWQ249" s="22"/>
      <c r="NWR249" s="22"/>
      <c r="NWS249" s="22"/>
      <c r="NWT249" s="22"/>
      <c r="NWU249" s="22"/>
      <c r="NWV249" s="22"/>
      <c r="NWW249" s="22"/>
      <c r="NWX249" s="22"/>
      <c r="NWY249" s="22"/>
      <c r="NWZ249" s="22"/>
      <c r="NXA249" s="22"/>
      <c r="NXB249" s="22"/>
      <c r="NXC249" s="22"/>
      <c r="NXD249" s="22"/>
      <c r="NXE249" s="22"/>
      <c r="NXF249" s="22"/>
      <c r="NXG249" s="22"/>
      <c r="NXH249" s="22"/>
      <c r="NXI249" s="22"/>
      <c r="NXJ249" s="22"/>
      <c r="NXK249" s="22"/>
      <c r="NXL249" s="22"/>
      <c r="NXM249" s="22"/>
      <c r="NXN249" s="22"/>
      <c r="NXO249" s="22"/>
      <c r="NXP249" s="22"/>
      <c r="NXQ249" s="22"/>
      <c r="NXR249" s="22"/>
      <c r="NXS249" s="22"/>
      <c r="NXT249" s="22"/>
      <c r="NXU249" s="22"/>
      <c r="NXV249" s="22"/>
      <c r="NXW249" s="22"/>
      <c r="NXX249" s="22"/>
      <c r="NXY249" s="22"/>
      <c r="NXZ249" s="22"/>
      <c r="NYA249" s="22"/>
      <c r="NYB249" s="22"/>
      <c r="NYC249" s="22"/>
      <c r="NYD249" s="22"/>
      <c r="NYE249" s="22"/>
      <c r="NYF249" s="22"/>
      <c r="NYG249" s="22"/>
      <c r="NYH249" s="22"/>
      <c r="NYI249" s="22"/>
      <c r="NYJ249" s="22"/>
      <c r="NYK249" s="22"/>
      <c r="NYL249" s="22"/>
      <c r="NYM249" s="22"/>
      <c r="NYN249" s="22"/>
      <c r="NYO249" s="22"/>
      <c r="NYP249" s="22"/>
      <c r="NYQ249" s="22"/>
      <c r="NYR249" s="22"/>
      <c r="NYS249" s="22"/>
      <c r="NYT249" s="22"/>
      <c r="NYU249" s="22"/>
      <c r="NYV249" s="22"/>
      <c r="NYW249" s="22"/>
      <c r="NYX249" s="22"/>
      <c r="NYY249" s="22"/>
      <c r="NYZ249" s="22"/>
      <c r="NZA249" s="22"/>
      <c r="NZB249" s="22"/>
      <c r="NZC249" s="22"/>
      <c r="NZD249" s="22"/>
      <c r="NZE249" s="22"/>
      <c r="NZF249" s="22"/>
      <c r="NZG249" s="22"/>
      <c r="NZH249" s="22"/>
      <c r="NZI249" s="22"/>
      <c r="NZJ249" s="22"/>
      <c r="NZK249" s="22"/>
      <c r="NZL249" s="22"/>
      <c r="NZM249" s="22"/>
      <c r="NZN249" s="22"/>
      <c r="NZO249" s="22"/>
      <c r="NZP249" s="22"/>
      <c r="NZQ249" s="22"/>
      <c r="NZR249" s="22"/>
      <c r="NZS249" s="22"/>
      <c r="NZT249" s="22"/>
      <c r="NZU249" s="22"/>
      <c r="NZV249" s="22"/>
      <c r="NZW249" s="22"/>
      <c r="NZX249" s="22"/>
      <c r="NZY249" s="22"/>
      <c r="NZZ249" s="22"/>
      <c r="OAA249" s="22"/>
      <c r="OAB249" s="22"/>
      <c r="OAC249" s="22"/>
      <c r="OAD249" s="22"/>
      <c r="OAE249" s="22"/>
      <c r="OAF249" s="22"/>
      <c r="OAG249" s="22"/>
      <c r="OAH249" s="22"/>
      <c r="OAI249" s="22"/>
      <c r="OAJ249" s="22"/>
      <c r="OAK249" s="22"/>
      <c r="OAL249" s="22"/>
      <c r="OAM249" s="22"/>
      <c r="OAN249" s="22"/>
      <c r="OAO249" s="22"/>
      <c r="OAP249" s="22"/>
      <c r="OAQ249" s="22"/>
      <c r="OAR249" s="22"/>
      <c r="OAS249" s="22"/>
      <c r="OAT249" s="22"/>
      <c r="OAU249" s="22"/>
      <c r="OAV249" s="22"/>
      <c r="OAW249" s="22"/>
      <c r="OAX249" s="22"/>
      <c r="OAY249" s="22"/>
      <c r="OAZ249" s="22"/>
      <c r="OBA249" s="22"/>
      <c r="OBB249" s="22"/>
      <c r="OBC249" s="22"/>
      <c r="OBD249" s="22"/>
      <c r="OBE249" s="22"/>
      <c r="OBF249" s="22"/>
      <c r="OBG249" s="22"/>
      <c r="OBH249" s="22"/>
      <c r="OBI249" s="22"/>
      <c r="OBJ249" s="22"/>
      <c r="OBK249" s="22"/>
      <c r="OBL249" s="22"/>
      <c r="OBM249" s="22"/>
      <c r="OBN249" s="22"/>
      <c r="OBO249" s="22"/>
      <c r="OBP249" s="22"/>
      <c r="OBQ249" s="22"/>
      <c r="OBR249" s="22"/>
      <c r="OBS249" s="22"/>
      <c r="OBT249" s="22"/>
      <c r="OBU249" s="22"/>
      <c r="OBV249" s="22"/>
      <c r="OBW249" s="22"/>
      <c r="OBX249" s="22"/>
      <c r="OBY249" s="22"/>
      <c r="OBZ249" s="22"/>
      <c r="OCA249" s="22"/>
      <c r="OCB249" s="22"/>
      <c r="OCC249" s="22"/>
      <c r="OCD249" s="22"/>
      <c r="OCE249" s="22"/>
      <c r="OCF249" s="22"/>
      <c r="OCG249" s="22"/>
      <c r="OCH249" s="22"/>
      <c r="OCI249" s="22"/>
      <c r="OCJ249" s="22"/>
      <c r="OCK249" s="22"/>
      <c r="OCL249" s="22"/>
      <c r="OCM249" s="22"/>
      <c r="OCN249" s="22"/>
      <c r="OCO249" s="22"/>
      <c r="OCP249" s="22"/>
      <c r="OCQ249" s="22"/>
      <c r="OCR249" s="22"/>
      <c r="OCS249" s="22"/>
      <c r="OCT249" s="22"/>
      <c r="OCU249" s="22"/>
      <c r="OCV249" s="22"/>
      <c r="OCW249" s="22"/>
      <c r="OCX249" s="22"/>
      <c r="OCY249" s="22"/>
      <c r="OCZ249" s="22"/>
      <c r="ODA249" s="22"/>
      <c r="ODB249" s="22"/>
      <c r="ODC249" s="22"/>
      <c r="ODD249" s="22"/>
      <c r="ODE249" s="22"/>
      <c r="ODF249" s="22"/>
      <c r="ODG249" s="22"/>
      <c r="ODH249" s="22"/>
      <c r="ODI249" s="22"/>
      <c r="ODJ249" s="22"/>
      <c r="ODK249" s="22"/>
      <c r="ODL249" s="22"/>
      <c r="ODM249" s="22"/>
      <c r="ODN249" s="22"/>
      <c r="ODO249" s="22"/>
      <c r="ODP249" s="22"/>
      <c r="ODQ249" s="22"/>
      <c r="ODR249" s="22"/>
      <c r="ODS249" s="22"/>
      <c r="ODT249" s="22"/>
      <c r="ODU249" s="22"/>
      <c r="ODV249" s="22"/>
      <c r="ODW249" s="22"/>
      <c r="ODX249" s="22"/>
      <c r="ODY249" s="22"/>
      <c r="ODZ249" s="22"/>
      <c r="OEA249" s="22"/>
      <c r="OEB249" s="22"/>
      <c r="OEC249" s="22"/>
      <c r="OED249" s="22"/>
      <c r="OEE249" s="22"/>
      <c r="OEF249" s="22"/>
      <c r="OEG249" s="22"/>
      <c r="OEH249" s="22"/>
      <c r="OEI249" s="22"/>
      <c r="OEJ249" s="22"/>
      <c r="OEK249" s="22"/>
      <c r="OEL249" s="22"/>
      <c r="OEM249" s="22"/>
      <c r="OEN249" s="22"/>
      <c r="OEO249" s="22"/>
      <c r="OEP249" s="22"/>
      <c r="OEQ249" s="22"/>
      <c r="OER249" s="22"/>
      <c r="OES249" s="22"/>
      <c r="OET249" s="22"/>
      <c r="OEU249" s="22"/>
      <c r="OEV249" s="22"/>
      <c r="OEW249" s="22"/>
      <c r="OEX249" s="22"/>
      <c r="OEY249" s="22"/>
      <c r="OEZ249" s="22"/>
      <c r="OFA249" s="22"/>
      <c r="OFB249" s="22"/>
      <c r="OFC249" s="22"/>
      <c r="OFD249" s="22"/>
      <c r="OFE249" s="22"/>
      <c r="OFF249" s="22"/>
      <c r="OFG249" s="22"/>
      <c r="OFH249" s="22"/>
      <c r="OFI249" s="22"/>
      <c r="OFJ249" s="22"/>
      <c r="OFK249" s="22"/>
      <c r="OFL249" s="22"/>
      <c r="OFM249" s="22"/>
      <c r="OFN249" s="22"/>
      <c r="OFO249" s="22"/>
      <c r="OFP249" s="22"/>
      <c r="OFQ249" s="22"/>
      <c r="OFR249" s="22"/>
      <c r="OFS249" s="22"/>
      <c r="OFT249" s="22"/>
      <c r="OFU249" s="22"/>
      <c r="OFV249" s="22"/>
      <c r="OFW249" s="22"/>
      <c r="OFX249" s="22"/>
      <c r="OFY249" s="22"/>
      <c r="OFZ249" s="22"/>
      <c r="OGA249" s="22"/>
      <c r="OGB249" s="22"/>
      <c r="OGC249" s="22"/>
      <c r="OGD249" s="22"/>
      <c r="OGE249" s="22"/>
      <c r="OGF249" s="22"/>
      <c r="OGG249" s="22"/>
      <c r="OGH249" s="22"/>
      <c r="OGI249" s="22"/>
      <c r="OGJ249" s="22"/>
      <c r="OGK249" s="22"/>
      <c r="OGL249" s="22"/>
      <c r="OGM249" s="22"/>
      <c r="OGN249" s="22"/>
      <c r="OGO249" s="22"/>
      <c r="OGP249" s="22"/>
      <c r="OGQ249" s="22"/>
      <c r="OGR249" s="22"/>
      <c r="OGS249" s="22"/>
      <c r="OGT249" s="22"/>
      <c r="OGU249" s="22"/>
      <c r="OGV249" s="22"/>
      <c r="OGW249" s="22"/>
      <c r="OGX249" s="22"/>
      <c r="OGY249" s="22"/>
      <c r="OGZ249" s="22"/>
      <c r="OHA249" s="22"/>
      <c r="OHB249" s="22"/>
      <c r="OHC249" s="22"/>
      <c r="OHD249" s="22"/>
      <c r="OHE249" s="22"/>
      <c r="OHF249" s="22"/>
      <c r="OHG249" s="22"/>
      <c r="OHH249" s="22"/>
      <c r="OHI249" s="22"/>
      <c r="OHJ249" s="22"/>
      <c r="OHK249" s="22"/>
      <c r="OHL249" s="22"/>
      <c r="OHM249" s="22"/>
      <c r="OHN249" s="22"/>
      <c r="OHO249" s="22"/>
      <c r="OHP249" s="22"/>
      <c r="OHQ249" s="22"/>
      <c r="OHR249" s="22"/>
      <c r="OHS249" s="22"/>
      <c r="OHT249" s="22"/>
      <c r="OHU249" s="22"/>
      <c r="OHV249" s="22"/>
      <c r="OHW249" s="22"/>
      <c r="OHX249" s="22"/>
      <c r="OHY249" s="22"/>
      <c r="OHZ249" s="22"/>
      <c r="OIA249" s="22"/>
      <c r="OIB249" s="22"/>
      <c r="OIC249" s="22"/>
      <c r="OID249" s="22"/>
      <c r="OIE249" s="22"/>
      <c r="OIF249" s="22"/>
      <c r="OIG249" s="22"/>
      <c r="OIH249" s="22"/>
      <c r="OII249" s="22"/>
      <c r="OIJ249" s="22"/>
      <c r="OIK249" s="22"/>
      <c r="OIL249" s="22"/>
      <c r="OIM249" s="22"/>
      <c r="OIN249" s="22"/>
      <c r="OIO249" s="22"/>
      <c r="OIP249" s="22"/>
      <c r="OIQ249" s="22"/>
      <c r="OIR249" s="22"/>
      <c r="OIS249" s="22"/>
      <c r="OIT249" s="22"/>
      <c r="OIU249" s="22"/>
      <c r="OIV249" s="22"/>
      <c r="OIW249" s="22"/>
      <c r="OIX249" s="22"/>
      <c r="OIY249" s="22"/>
      <c r="OIZ249" s="22"/>
      <c r="OJA249" s="22"/>
      <c r="OJB249" s="22"/>
      <c r="OJC249" s="22"/>
      <c r="OJD249" s="22"/>
      <c r="OJE249" s="22"/>
      <c r="OJF249" s="22"/>
      <c r="OJG249" s="22"/>
      <c r="OJH249" s="22"/>
      <c r="OJI249" s="22"/>
      <c r="OJJ249" s="22"/>
      <c r="OJK249" s="22"/>
      <c r="OJL249" s="22"/>
      <c r="OJM249" s="22"/>
      <c r="OJN249" s="22"/>
      <c r="OJO249" s="22"/>
      <c r="OJP249" s="22"/>
      <c r="OJQ249" s="22"/>
      <c r="OJR249" s="22"/>
      <c r="OJS249" s="22"/>
      <c r="OJT249" s="22"/>
      <c r="OJU249" s="22"/>
      <c r="OJV249" s="22"/>
      <c r="OJW249" s="22"/>
      <c r="OJX249" s="22"/>
      <c r="OJY249" s="22"/>
      <c r="OJZ249" s="22"/>
      <c r="OKA249" s="22"/>
      <c r="OKB249" s="22"/>
      <c r="OKC249" s="22"/>
      <c r="OKD249" s="22"/>
      <c r="OKE249" s="22"/>
      <c r="OKF249" s="22"/>
      <c r="OKG249" s="22"/>
      <c r="OKH249" s="22"/>
      <c r="OKI249" s="22"/>
      <c r="OKJ249" s="22"/>
      <c r="OKK249" s="22"/>
      <c r="OKL249" s="22"/>
      <c r="OKM249" s="22"/>
      <c r="OKN249" s="22"/>
      <c r="OKO249" s="22"/>
      <c r="OKP249" s="22"/>
      <c r="OKQ249" s="22"/>
      <c r="OKR249" s="22"/>
      <c r="OKS249" s="22"/>
      <c r="OKT249" s="22"/>
      <c r="OKU249" s="22"/>
      <c r="OKV249" s="22"/>
      <c r="OKW249" s="22"/>
      <c r="OKX249" s="22"/>
      <c r="OKY249" s="22"/>
      <c r="OKZ249" s="22"/>
      <c r="OLA249" s="22"/>
      <c r="OLB249" s="22"/>
      <c r="OLC249" s="22"/>
      <c r="OLD249" s="22"/>
      <c r="OLE249" s="22"/>
      <c r="OLF249" s="22"/>
      <c r="OLG249" s="22"/>
      <c r="OLH249" s="22"/>
      <c r="OLI249" s="22"/>
      <c r="OLJ249" s="22"/>
      <c r="OLK249" s="22"/>
      <c r="OLL249" s="22"/>
      <c r="OLM249" s="22"/>
      <c r="OLN249" s="22"/>
      <c r="OLO249" s="22"/>
      <c r="OLP249" s="22"/>
      <c r="OLQ249" s="22"/>
      <c r="OLR249" s="22"/>
      <c r="OLS249" s="22"/>
      <c r="OLT249" s="22"/>
      <c r="OLU249" s="22"/>
      <c r="OLV249" s="22"/>
      <c r="OLW249" s="22"/>
      <c r="OLX249" s="22"/>
      <c r="OLY249" s="22"/>
      <c r="OLZ249" s="22"/>
      <c r="OMA249" s="22"/>
      <c r="OMB249" s="22"/>
      <c r="OMC249" s="22"/>
      <c r="OMD249" s="22"/>
      <c r="OME249" s="22"/>
      <c r="OMF249" s="22"/>
      <c r="OMG249" s="22"/>
      <c r="OMH249" s="22"/>
      <c r="OMI249" s="22"/>
      <c r="OMJ249" s="22"/>
      <c r="OMK249" s="22"/>
      <c r="OML249" s="22"/>
      <c r="OMM249" s="22"/>
      <c r="OMN249" s="22"/>
      <c r="OMO249" s="22"/>
      <c r="OMP249" s="22"/>
      <c r="OMQ249" s="22"/>
      <c r="OMR249" s="22"/>
      <c r="OMS249" s="22"/>
      <c r="OMT249" s="22"/>
      <c r="OMU249" s="22"/>
      <c r="OMV249" s="22"/>
      <c r="OMW249" s="22"/>
      <c r="OMX249" s="22"/>
      <c r="OMY249" s="22"/>
      <c r="OMZ249" s="22"/>
      <c r="ONA249" s="22"/>
      <c r="ONB249" s="22"/>
      <c r="ONC249" s="22"/>
      <c r="OND249" s="22"/>
      <c r="ONE249" s="22"/>
      <c r="ONF249" s="22"/>
      <c r="ONG249" s="22"/>
      <c r="ONH249" s="22"/>
      <c r="ONI249" s="22"/>
      <c r="ONJ249" s="22"/>
      <c r="ONK249" s="22"/>
      <c r="ONL249" s="22"/>
      <c r="ONM249" s="22"/>
      <c r="ONN249" s="22"/>
      <c r="ONO249" s="22"/>
      <c r="ONP249" s="22"/>
      <c r="ONQ249" s="22"/>
      <c r="ONR249" s="22"/>
      <c r="ONS249" s="22"/>
      <c r="ONT249" s="22"/>
      <c r="ONU249" s="22"/>
      <c r="ONV249" s="22"/>
      <c r="ONW249" s="22"/>
      <c r="ONX249" s="22"/>
      <c r="ONY249" s="22"/>
      <c r="ONZ249" s="22"/>
      <c r="OOA249" s="22"/>
      <c r="OOB249" s="22"/>
      <c r="OOC249" s="22"/>
      <c r="OOD249" s="22"/>
      <c r="OOE249" s="22"/>
      <c r="OOF249" s="22"/>
      <c r="OOG249" s="22"/>
      <c r="OOH249" s="22"/>
      <c r="OOI249" s="22"/>
      <c r="OOJ249" s="22"/>
      <c r="OOK249" s="22"/>
      <c r="OOL249" s="22"/>
      <c r="OOM249" s="22"/>
      <c r="OON249" s="22"/>
      <c r="OOO249" s="22"/>
      <c r="OOP249" s="22"/>
      <c r="OOQ249" s="22"/>
      <c r="OOR249" s="22"/>
      <c r="OOS249" s="22"/>
      <c r="OOT249" s="22"/>
      <c r="OOU249" s="22"/>
      <c r="OOV249" s="22"/>
      <c r="OOW249" s="22"/>
      <c r="OOX249" s="22"/>
      <c r="OOY249" s="22"/>
      <c r="OOZ249" s="22"/>
      <c r="OPA249" s="22"/>
      <c r="OPB249" s="22"/>
      <c r="OPC249" s="22"/>
      <c r="OPD249" s="22"/>
      <c r="OPE249" s="22"/>
      <c r="OPF249" s="22"/>
      <c r="OPG249" s="22"/>
      <c r="OPH249" s="22"/>
      <c r="OPI249" s="22"/>
      <c r="OPJ249" s="22"/>
      <c r="OPK249" s="22"/>
      <c r="OPL249" s="22"/>
      <c r="OPM249" s="22"/>
      <c r="OPN249" s="22"/>
      <c r="OPO249" s="22"/>
      <c r="OPP249" s="22"/>
      <c r="OPQ249" s="22"/>
      <c r="OPR249" s="22"/>
      <c r="OPS249" s="22"/>
      <c r="OPT249" s="22"/>
      <c r="OPU249" s="22"/>
      <c r="OPV249" s="22"/>
      <c r="OPW249" s="22"/>
      <c r="OPX249" s="22"/>
      <c r="OPY249" s="22"/>
      <c r="OPZ249" s="22"/>
      <c r="OQA249" s="22"/>
      <c r="OQB249" s="22"/>
      <c r="OQC249" s="22"/>
      <c r="OQD249" s="22"/>
      <c r="OQE249" s="22"/>
      <c r="OQF249" s="22"/>
      <c r="OQG249" s="22"/>
      <c r="OQH249" s="22"/>
      <c r="OQI249" s="22"/>
      <c r="OQJ249" s="22"/>
      <c r="OQK249" s="22"/>
      <c r="OQL249" s="22"/>
      <c r="OQM249" s="22"/>
      <c r="OQN249" s="22"/>
      <c r="OQO249" s="22"/>
      <c r="OQP249" s="22"/>
      <c r="OQQ249" s="22"/>
      <c r="OQR249" s="22"/>
      <c r="OQS249" s="22"/>
      <c r="OQT249" s="22"/>
      <c r="OQU249" s="22"/>
      <c r="OQV249" s="22"/>
      <c r="OQW249" s="22"/>
      <c r="OQX249" s="22"/>
      <c r="OQY249" s="22"/>
      <c r="OQZ249" s="22"/>
      <c r="ORA249" s="22"/>
      <c r="ORB249" s="22"/>
      <c r="ORC249" s="22"/>
      <c r="ORD249" s="22"/>
      <c r="ORE249" s="22"/>
      <c r="ORF249" s="22"/>
      <c r="ORG249" s="22"/>
      <c r="ORH249" s="22"/>
      <c r="ORI249" s="22"/>
      <c r="ORJ249" s="22"/>
      <c r="ORK249" s="22"/>
      <c r="ORL249" s="22"/>
      <c r="ORM249" s="22"/>
      <c r="ORN249" s="22"/>
      <c r="ORO249" s="22"/>
      <c r="ORP249" s="22"/>
      <c r="ORQ249" s="22"/>
      <c r="ORR249" s="22"/>
      <c r="ORS249" s="22"/>
      <c r="ORT249" s="22"/>
      <c r="ORU249" s="22"/>
      <c r="ORV249" s="22"/>
      <c r="ORW249" s="22"/>
      <c r="ORX249" s="22"/>
      <c r="ORY249" s="22"/>
      <c r="ORZ249" s="22"/>
      <c r="OSA249" s="22"/>
      <c r="OSB249" s="22"/>
      <c r="OSC249" s="22"/>
      <c r="OSD249" s="22"/>
      <c r="OSE249" s="22"/>
      <c r="OSF249" s="22"/>
      <c r="OSG249" s="22"/>
      <c r="OSH249" s="22"/>
      <c r="OSI249" s="22"/>
      <c r="OSJ249" s="22"/>
      <c r="OSK249" s="22"/>
      <c r="OSL249" s="22"/>
      <c r="OSM249" s="22"/>
      <c r="OSN249" s="22"/>
      <c r="OSO249" s="22"/>
      <c r="OSP249" s="22"/>
      <c r="OSQ249" s="22"/>
      <c r="OSR249" s="22"/>
      <c r="OSS249" s="22"/>
      <c r="OST249" s="22"/>
      <c r="OSU249" s="22"/>
      <c r="OSV249" s="22"/>
      <c r="OSW249" s="22"/>
      <c r="OSX249" s="22"/>
      <c r="OSY249" s="22"/>
      <c r="OSZ249" s="22"/>
      <c r="OTA249" s="22"/>
      <c r="OTB249" s="22"/>
      <c r="OTC249" s="22"/>
      <c r="OTD249" s="22"/>
      <c r="OTE249" s="22"/>
      <c r="OTF249" s="22"/>
      <c r="OTG249" s="22"/>
      <c r="OTH249" s="22"/>
      <c r="OTI249" s="22"/>
      <c r="OTJ249" s="22"/>
      <c r="OTK249" s="22"/>
      <c r="OTL249" s="22"/>
      <c r="OTM249" s="22"/>
      <c r="OTN249" s="22"/>
      <c r="OTO249" s="22"/>
      <c r="OTP249" s="22"/>
      <c r="OTQ249" s="22"/>
      <c r="OTR249" s="22"/>
      <c r="OTS249" s="22"/>
      <c r="OTT249" s="22"/>
      <c r="OTU249" s="22"/>
      <c r="OTV249" s="22"/>
      <c r="OTW249" s="22"/>
      <c r="OTX249" s="22"/>
      <c r="OTY249" s="22"/>
      <c r="OTZ249" s="22"/>
      <c r="OUA249" s="22"/>
      <c r="OUB249" s="22"/>
      <c r="OUC249" s="22"/>
      <c r="OUD249" s="22"/>
      <c r="OUE249" s="22"/>
      <c r="OUF249" s="22"/>
      <c r="OUG249" s="22"/>
      <c r="OUH249" s="22"/>
      <c r="OUI249" s="22"/>
      <c r="OUJ249" s="22"/>
      <c r="OUK249" s="22"/>
      <c r="OUL249" s="22"/>
      <c r="OUM249" s="22"/>
      <c r="OUN249" s="22"/>
      <c r="OUO249" s="22"/>
      <c r="OUP249" s="22"/>
      <c r="OUQ249" s="22"/>
      <c r="OUR249" s="22"/>
      <c r="OUS249" s="22"/>
      <c r="OUT249" s="22"/>
      <c r="OUU249" s="22"/>
      <c r="OUV249" s="22"/>
      <c r="OUW249" s="22"/>
      <c r="OUX249" s="22"/>
      <c r="OUY249" s="22"/>
      <c r="OUZ249" s="22"/>
      <c r="OVA249" s="22"/>
      <c r="OVB249" s="22"/>
      <c r="OVC249" s="22"/>
      <c r="OVD249" s="22"/>
      <c r="OVE249" s="22"/>
      <c r="OVF249" s="22"/>
      <c r="OVG249" s="22"/>
      <c r="OVH249" s="22"/>
      <c r="OVI249" s="22"/>
      <c r="OVJ249" s="22"/>
      <c r="OVK249" s="22"/>
      <c r="OVL249" s="22"/>
      <c r="OVM249" s="22"/>
      <c r="OVN249" s="22"/>
      <c r="OVO249" s="22"/>
      <c r="OVP249" s="22"/>
      <c r="OVQ249" s="22"/>
      <c r="OVR249" s="22"/>
      <c r="OVS249" s="22"/>
      <c r="OVT249" s="22"/>
      <c r="OVU249" s="22"/>
      <c r="OVV249" s="22"/>
      <c r="OVW249" s="22"/>
      <c r="OVX249" s="22"/>
      <c r="OVY249" s="22"/>
      <c r="OVZ249" s="22"/>
      <c r="OWA249" s="22"/>
      <c r="OWB249" s="22"/>
      <c r="OWC249" s="22"/>
      <c r="OWD249" s="22"/>
      <c r="OWE249" s="22"/>
      <c r="OWF249" s="22"/>
      <c r="OWG249" s="22"/>
      <c r="OWH249" s="22"/>
      <c r="OWI249" s="22"/>
      <c r="OWJ249" s="22"/>
      <c r="OWK249" s="22"/>
      <c r="OWL249" s="22"/>
      <c r="OWM249" s="22"/>
      <c r="OWN249" s="22"/>
      <c r="OWO249" s="22"/>
      <c r="OWP249" s="22"/>
      <c r="OWQ249" s="22"/>
      <c r="OWR249" s="22"/>
      <c r="OWS249" s="22"/>
      <c r="OWT249" s="22"/>
      <c r="OWU249" s="22"/>
      <c r="OWV249" s="22"/>
      <c r="OWW249" s="22"/>
      <c r="OWX249" s="22"/>
      <c r="OWY249" s="22"/>
      <c r="OWZ249" s="22"/>
      <c r="OXA249" s="22"/>
      <c r="OXB249" s="22"/>
      <c r="OXC249" s="22"/>
      <c r="OXD249" s="22"/>
      <c r="OXE249" s="22"/>
      <c r="OXF249" s="22"/>
      <c r="OXG249" s="22"/>
      <c r="OXH249" s="22"/>
      <c r="OXI249" s="22"/>
      <c r="OXJ249" s="22"/>
      <c r="OXK249" s="22"/>
      <c r="OXL249" s="22"/>
      <c r="OXM249" s="22"/>
      <c r="OXN249" s="22"/>
      <c r="OXO249" s="22"/>
      <c r="OXP249" s="22"/>
      <c r="OXQ249" s="22"/>
      <c r="OXR249" s="22"/>
      <c r="OXS249" s="22"/>
      <c r="OXT249" s="22"/>
      <c r="OXU249" s="22"/>
      <c r="OXV249" s="22"/>
      <c r="OXW249" s="22"/>
      <c r="OXX249" s="22"/>
      <c r="OXY249" s="22"/>
      <c r="OXZ249" s="22"/>
      <c r="OYA249" s="22"/>
      <c r="OYB249" s="22"/>
      <c r="OYC249" s="22"/>
      <c r="OYD249" s="22"/>
      <c r="OYE249" s="22"/>
      <c r="OYF249" s="22"/>
      <c r="OYG249" s="22"/>
      <c r="OYH249" s="22"/>
      <c r="OYI249" s="22"/>
      <c r="OYJ249" s="22"/>
      <c r="OYK249" s="22"/>
      <c r="OYL249" s="22"/>
      <c r="OYM249" s="22"/>
      <c r="OYN249" s="22"/>
      <c r="OYO249" s="22"/>
      <c r="OYP249" s="22"/>
      <c r="OYQ249" s="22"/>
      <c r="OYR249" s="22"/>
      <c r="OYS249" s="22"/>
      <c r="OYT249" s="22"/>
      <c r="OYU249" s="22"/>
      <c r="OYV249" s="22"/>
      <c r="OYW249" s="22"/>
      <c r="OYX249" s="22"/>
      <c r="OYY249" s="22"/>
      <c r="OYZ249" s="22"/>
      <c r="OZA249" s="22"/>
      <c r="OZB249" s="22"/>
      <c r="OZC249" s="22"/>
      <c r="OZD249" s="22"/>
      <c r="OZE249" s="22"/>
      <c r="OZF249" s="22"/>
      <c r="OZG249" s="22"/>
      <c r="OZH249" s="22"/>
      <c r="OZI249" s="22"/>
      <c r="OZJ249" s="22"/>
      <c r="OZK249" s="22"/>
      <c r="OZL249" s="22"/>
      <c r="OZM249" s="22"/>
      <c r="OZN249" s="22"/>
      <c r="OZO249" s="22"/>
      <c r="OZP249" s="22"/>
      <c r="OZQ249" s="22"/>
      <c r="OZR249" s="22"/>
      <c r="OZS249" s="22"/>
      <c r="OZT249" s="22"/>
      <c r="OZU249" s="22"/>
      <c r="OZV249" s="22"/>
      <c r="OZW249" s="22"/>
      <c r="OZX249" s="22"/>
      <c r="OZY249" s="22"/>
      <c r="OZZ249" s="22"/>
      <c r="PAA249" s="22"/>
      <c r="PAB249" s="22"/>
      <c r="PAC249" s="22"/>
      <c r="PAD249" s="22"/>
      <c r="PAE249" s="22"/>
      <c r="PAF249" s="22"/>
      <c r="PAG249" s="22"/>
      <c r="PAH249" s="22"/>
      <c r="PAI249" s="22"/>
      <c r="PAJ249" s="22"/>
      <c r="PAK249" s="22"/>
      <c r="PAL249" s="22"/>
      <c r="PAM249" s="22"/>
      <c r="PAN249" s="22"/>
      <c r="PAO249" s="22"/>
      <c r="PAP249" s="22"/>
      <c r="PAQ249" s="22"/>
      <c r="PAR249" s="22"/>
      <c r="PAS249" s="22"/>
      <c r="PAT249" s="22"/>
      <c r="PAU249" s="22"/>
      <c r="PAV249" s="22"/>
      <c r="PAW249" s="22"/>
      <c r="PAX249" s="22"/>
      <c r="PAY249" s="22"/>
      <c r="PAZ249" s="22"/>
      <c r="PBA249" s="22"/>
      <c r="PBB249" s="22"/>
      <c r="PBC249" s="22"/>
      <c r="PBD249" s="22"/>
      <c r="PBE249" s="22"/>
      <c r="PBF249" s="22"/>
      <c r="PBG249" s="22"/>
      <c r="PBH249" s="22"/>
      <c r="PBI249" s="22"/>
      <c r="PBJ249" s="22"/>
      <c r="PBK249" s="22"/>
      <c r="PBL249" s="22"/>
      <c r="PBM249" s="22"/>
      <c r="PBN249" s="22"/>
      <c r="PBO249" s="22"/>
      <c r="PBP249" s="22"/>
      <c r="PBQ249" s="22"/>
      <c r="PBR249" s="22"/>
      <c r="PBS249" s="22"/>
      <c r="PBT249" s="22"/>
      <c r="PBU249" s="22"/>
      <c r="PBV249" s="22"/>
      <c r="PBW249" s="22"/>
      <c r="PBX249" s="22"/>
      <c r="PBY249" s="22"/>
      <c r="PBZ249" s="22"/>
      <c r="PCA249" s="22"/>
      <c r="PCB249" s="22"/>
      <c r="PCC249" s="22"/>
      <c r="PCD249" s="22"/>
      <c r="PCE249" s="22"/>
      <c r="PCF249" s="22"/>
      <c r="PCG249" s="22"/>
      <c r="PCH249" s="22"/>
      <c r="PCI249" s="22"/>
      <c r="PCJ249" s="22"/>
      <c r="PCK249" s="22"/>
      <c r="PCL249" s="22"/>
      <c r="PCM249" s="22"/>
      <c r="PCN249" s="22"/>
      <c r="PCO249" s="22"/>
      <c r="PCP249" s="22"/>
      <c r="PCQ249" s="22"/>
      <c r="PCR249" s="22"/>
      <c r="PCS249" s="22"/>
      <c r="PCT249" s="22"/>
      <c r="PCU249" s="22"/>
      <c r="PCV249" s="22"/>
      <c r="PCW249" s="22"/>
      <c r="PCX249" s="22"/>
      <c r="PCY249" s="22"/>
      <c r="PCZ249" s="22"/>
      <c r="PDA249" s="22"/>
      <c r="PDB249" s="22"/>
      <c r="PDC249" s="22"/>
      <c r="PDD249" s="22"/>
      <c r="PDE249" s="22"/>
      <c r="PDF249" s="22"/>
      <c r="PDG249" s="22"/>
      <c r="PDH249" s="22"/>
      <c r="PDI249" s="22"/>
      <c r="PDJ249" s="22"/>
      <c r="PDK249" s="22"/>
      <c r="PDL249" s="22"/>
      <c r="PDM249" s="22"/>
      <c r="PDN249" s="22"/>
      <c r="PDO249" s="22"/>
      <c r="PDP249" s="22"/>
      <c r="PDQ249" s="22"/>
      <c r="PDR249" s="22"/>
      <c r="PDS249" s="22"/>
      <c r="PDT249" s="22"/>
      <c r="PDU249" s="22"/>
      <c r="PDV249" s="22"/>
      <c r="PDW249" s="22"/>
      <c r="PDX249" s="22"/>
      <c r="PDY249" s="22"/>
      <c r="PDZ249" s="22"/>
      <c r="PEA249" s="22"/>
      <c r="PEB249" s="22"/>
      <c r="PEC249" s="22"/>
      <c r="PED249" s="22"/>
      <c r="PEE249" s="22"/>
      <c r="PEF249" s="22"/>
      <c r="PEG249" s="22"/>
      <c r="PEH249" s="22"/>
      <c r="PEI249" s="22"/>
      <c r="PEJ249" s="22"/>
      <c r="PEK249" s="22"/>
      <c r="PEL249" s="22"/>
      <c r="PEM249" s="22"/>
      <c r="PEN249" s="22"/>
      <c r="PEO249" s="22"/>
      <c r="PEP249" s="22"/>
      <c r="PEQ249" s="22"/>
      <c r="PER249" s="22"/>
      <c r="PES249" s="22"/>
      <c r="PET249" s="22"/>
      <c r="PEU249" s="22"/>
      <c r="PEV249" s="22"/>
      <c r="PEW249" s="22"/>
      <c r="PEX249" s="22"/>
      <c r="PEY249" s="22"/>
      <c r="PEZ249" s="22"/>
      <c r="PFA249" s="22"/>
      <c r="PFB249" s="22"/>
      <c r="PFC249" s="22"/>
      <c r="PFD249" s="22"/>
      <c r="PFE249" s="22"/>
      <c r="PFF249" s="22"/>
      <c r="PFG249" s="22"/>
      <c r="PFH249" s="22"/>
      <c r="PFI249" s="22"/>
      <c r="PFJ249" s="22"/>
      <c r="PFK249" s="22"/>
      <c r="PFL249" s="22"/>
      <c r="PFM249" s="22"/>
      <c r="PFN249" s="22"/>
      <c r="PFO249" s="22"/>
      <c r="PFP249" s="22"/>
      <c r="PFQ249" s="22"/>
      <c r="PFR249" s="22"/>
      <c r="PFS249" s="22"/>
      <c r="PFT249" s="22"/>
      <c r="PFU249" s="22"/>
      <c r="PFV249" s="22"/>
      <c r="PFW249" s="22"/>
      <c r="PFX249" s="22"/>
      <c r="PFY249" s="22"/>
      <c r="PFZ249" s="22"/>
      <c r="PGA249" s="22"/>
      <c r="PGB249" s="22"/>
      <c r="PGC249" s="22"/>
      <c r="PGD249" s="22"/>
      <c r="PGE249" s="22"/>
      <c r="PGF249" s="22"/>
      <c r="PGG249" s="22"/>
      <c r="PGH249" s="22"/>
      <c r="PGI249" s="22"/>
      <c r="PGJ249" s="22"/>
      <c r="PGK249" s="22"/>
      <c r="PGL249" s="22"/>
      <c r="PGM249" s="22"/>
      <c r="PGN249" s="22"/>
      <c r="PGO249" s="22"/>
      <c r="PGP249" s="22"/>
      <c r="PGQ249" s="22"/>
      <c r="PGR249" s="22"/>
      <c r="PGS249" s="22"/>
      <c r="PGT249" s="22"/>
      <c r="PGU249" s="22"/>
      <c r="PGV249" s="22"/>
      <c r="PGW249" s="22"/>
      <c r="PGX249" s="22"/>
      <c r="PGY249" s="22"/>
      <c r="PGZ249" s="22"/>
      <c r="PHA249" s="22"/>
      <c r="PHB249" s="22"/>
      <c r="PHC249" s="22"/>
      <c r="PHD249" s="22"/>
      <c r="PHE249" s="22"/>
      <c r="PHF249" s="22"/>
      <c r="PHG249" s="22"/>
      <c r="PHH249" s="22"/>
      <c r="PHI249" s="22"/>
      <c r="PHJ249" s="22"/>
      <c r="PHK249" s="22"/>
      <c r="PHL249" s="22"/>
      <c r="PHM249" s="22"/>
      <c r="PHN249" s="22"/>
      <c r="PHO249" s="22"/>
      <c r="PHP249" s="22"/>
      <c r="PHQ249" s="22"/>
      <c r="PHR249" s="22"/>
      <c r="PHS249" s="22"/>
      <c r="PHT249" s="22"/>
      <c r="PHU249" s="22"/>
      <c r="PHV249" s="22"/>
      <c r="PHW249" s="22"/>
      <c r="PHX249" s="22"/>
      <c r="PHY249" s="22"/>
      <c r="PHZ249" s="22"/>
      <c r="PIA249" s="22"/>
      <c r="PIB249" s="22"/>
      <c r="PIC249" s="22"/>
      <c r="PID249" s="22"/>
      <c r="PIE249" s="22"/>
      <c r="PIF249" s="22"/>
      <c r="PIG249" s="22"/>
      <c r="PIH249" s="22"/>
      <c r="PII249" s="22"/>
      <c r="PIJ249" s="22"/>
      <c r="PIK249" s="22"/>
      <c r="PIL249" s="22"/>
      <c r="PIM249" s="22"/>
      <c r="PIN249" s="22"/>
      <c r="PIO249" s="22"/>
      <c r="PIP249" s="22"/>
      <c r="PIQ249" s="22"/>
      <c r="PIR249" s="22"/>
      <c r="PIS249" s="22"/>
      <c r="PIT249" s="22"/>
      <c r="PIU249" s="22"/>
      <c r="PIV249" s="22"/>
      <c r="PIW249" s="22"/>
      <c r="PIX249" s="22"/>
      <c r="PIY249" s="22"/>
      <c r="PIZ249" s="22"/>
      <c r="PJA249" s="22"/>
      <c r="PJB249" s="22"/>
      <c r="PJC249" s="22"/>
      <c r="PJD249" s="22"/>
      <c r="PJE249" s="22"/>
      <c r="PJF249" s="22"/>
      <c r="PJG249" s="22"/>
      <c r="PJH249" s="22"/>
      <c r="PJI249" s="22"/>
      <c r="PJJ249" s="22"/>
      <c r="PJK249" s="22"/>
      <c r="PJL249" s="22"/>
      <c r="PJM249" s="22"/>
      <c r="PJN249" s="22"/>
      <c r="PJO249" s="22"/>
      <c r="PJP249" s="22"/>
      <c r="PJQ249" s="22"/>
      <c r="PJR249" s="22"/>
      <c r="PJS249" s="22"/>
      <c r="PJT249" s="22"/>
      <c r="PJU249" s="22"/>
      <c r="PJV249" s="22"/>
      <c r="PJW249" s="22"/>
      <c r="PJX249" s="22"/>
      <c r="PJY249" s="22"/>
      <c r="PJZ249" s="22"/>
      <c r="PKA249" s="22"/>
      <c r="PKB249" s="22"/>
      <c r="PKC249" s="22"/>
      <c r="PKD249" s="22"/>
      <c r="PKE249" s="22"/>
      <c r="PKF249" s="22"/>
      <c r="PKG249" s="22"/>
      <c r="PKH249" s="22"/>
      <c r="PKI249" s="22"/>
      <c r="PKJ249" s="22"/>
      <c r="PKK249" s="22"/>
      <c r="PKL249" s="22"/>
      <c r="PKM249" s="22"/>
      <c r="PKN249" s="22"/>
      <c r="PKO249" s="22"/>
      <c r="PKP249" s="22"/>
      <c r="PKQ249" s="22"/>
      <c r="PKR249" s="22"/>
      <c r="PKS249" s="22"/>
      <c r="PKT249" s="22"/>
      <c r="PKU249" s="22"/>
      <c r="PKV249" s="22"/>
      <c r="PKW249" s="22"/>
      <c r="PKX249" s="22"/>
      <c r="PKY249" s="22"/>
      <c r="PKZ249" s="22"/>
      <c r="PLA249" s="22"/>
      <c r="PLB249" s="22"/>
      <c r="PLC249" s="22"/>
      <c r="PLD249" s="22"/>
      <c r="PLE249" s="22"/>
      <c r="PLF249" s="22"/>
      <c r="PLG249" s="22"/>
      <c r="PLH249" s="22"/>
      <c r="PLI249" s="22"/>
      <c r="PLJ249" s="22"/>
      <c r="PLK249" s="22"/>
      <c r="PLL249" s="22"/>
      <c r="PLM249" s="22"/>
      <c r="PLN249" s="22"/>
      <c r="PLO249" s="22"/>
      <c r="PLP249" s="22"/>
      <c r="PLQ249" s="22"/>
      <c r="PLR249" s="22"/>
      <c r="PLS249" s="22"/>
      <c r="PLT249" s="22"/>
      <c r="PLU249" s="22"/>
      <c r="PLV249" s="22"/>
      <c r="PLW249" s="22"/>
      <c r="PLX249" s="22"/>
      <c r="PLY249" s="22"/>
      <c r="PLZ249" s="22"/>
      <c r="PMA249" s="22"/>
      <c r="PMB249" s="22"/>
      <c r="PMC249" s="22"/>
      <c r="PMD249" s="22"/>
      <c r="PME249" s="22"/>
      <c r="PMF249" s="22"/>
      <c r="PMG249" s="22"/>
      <c r="PMH249" s="22"/>
      <c r="PMI249" s="22"/>
      <c r="PMJ249" s="22"/>
      <c r="PMK249" s="22"/>
      <c r="PML249" s="22"/>
      <c r="PMM249" s="22"/>
      <c r="PMN249" s="22"/>
      <c r="PMO249" s="22"/>
      <c r="PMP249" s="22"/>
      <c r="PMQ249" s="22"/>
      <c r="PMR249" s="22"/>
      <c r="PMS249" s="22"/>
      <c r="PMT249" s="22"/>
      <c r="PMU249" s="22"/>
      <c r="PMV249" s="22"/>
      <c r="PMW249" s="22"/>
      <c r="PMX249" s="22"/>
      <c r="PMY249" s="22"/>
      <c r="PMZ249" s="22"/>
      <c r="PNA249" s="22"/>
      <c r="PNB249" s="22"/>
      <c r="PNC249" s="22"/>
      <c r="PND249" s="22"/>
      <c r="PNE249" s="22"/>
      <c r="PNF249" s="22"/>
      <c r="PNG249" s="22"/>
      <c r="PNH249" s="22"/>
      <c r="PNI249" s="22"/>
      <c r="PNJ249" s="22"/>
      <c r="PNK249" s="22"/>
      <c r="PNL249" s="22"/>
      <c r="PNM249" s="22"/>
      <c r="PNN249" s="22"/>
      <c r="PNO249" s="22"/>
      <c r="PNP249" s="22"/>
      <c r="PNQ249" s="22"/>
      <c r="PNR249" s="22"/>
      <c r="PNS249" s="22"/>
      <c r="PNT249" s="22"/>
      <c r="PNU249" s="22"/>
      <c r="PNV249" s="22"/>
      <c r="PNW249" s="22"/>
      <c r="PNX249" s="22"/>
      <c r="PNY249" s="22"/>
      <c r="PNZ249" s="22"/>
      <c r="POA249" s="22"/>
      <c r="POB249" s="22"/>
      <c r="POC249" s="22"/>
      <c r="POD249" s="22"/>
      <c r="POE249" s="22"/>
      <c r="POF249" s="22"/>
      <c r="POG249" s="22"/>
      <c r="POH249" s="22"/>
      <c r="POI249" s="22"/>
      <c r="POJ249" s="22"/>
      <c r="POK249" s="22"/>
      <c r="POL249" s="22"/>
      <c r="POM249" s="22"/>
      <c r="PON249" s="22"/>
      <c r="POO249" s="22"/>
      <c r="POP249" s="22"/>
      <c r="POQ249" s="22"/>
      <c r="POR249" s="22"/>
      <c r="POS249" s="22"/>
      <c r="POT249" s="22"/>
      <c r="POU249" s="22"/>
      <c r="POV249" s="22"/>
      <c r="POW249" s="22"/>
      <c r="POX249" s="22"/>
      <c r="POY249" s="22"/>
      <c r="POZ249" s="22"/>
      <c r="PPA249" s="22"/>
      <c r="PPB249" s="22"/>
      <c r="PPC249" s="22"/>
      <c r="PPD249" s="22"/>
      <c r="PPE249" s="22"/>
      <c r="PPF249" s="22"/>
      <c r="PPG249" s="22"/>
      <c r="PPH249" s="22"/>
      <c r="PPI249" s="22"/>
      <c r="PPJ249" s="22"/>
      <c r="PPK249" s="22"/>
      <c r="PPL249" s="22"/>
      <c r="PPM249" s="22"/>
      <c r="PPN249" s="22"/>
      <c r="PPO249" s="22"/>
      <c r="PPP249" s="22"/>
      <c r="PPQ249" s="22"/>
      <c r="PPR249" s="22"/>
      <c r="PPS249" s="22"/>
      <c r="PPT249" s="22"/>
      <c r="PPU249" s="22"/>
      <c r="PPV249" s="22"/>
      <c r="PPW249" s="22"/>
      <c r="PPX249" s="22"/>
      <c r="PPY249" s="22"/>
      <c r="PPZ249" s="22"/>
      <c r="PQA249" s="22"/>
      <c r="PQB249" s="22"/>
      <c r="PQC249" s="22"/>
      <c r="PQD249" s="22"/>
      <c r="PQE249" s="22"/>
      <c r="PQF249" s="22"/>
      <c r="PQG249" s="22"/>
      <c r="PQH249" s="22"/>
      <c r="PQI249" s="22"/>
      <c r="PQJ249" s="22"/>
      <c r="PQK249" s="22"/>
      <c r="PQL249" s="22"/>
      <c r="PQM249" s="22"/>
      <c r="PQN249" s="22"/>
      <c r="PQO249" s="22"/>
      <c r="PQP249" s="22"/>
      <c r="PQQ249" s="22"/>
      <c r="PQR249" s="22"/>
      <c r="PQS249" s="22"/>
      <c r="PQT249" s="22"/>
      <c r="PQU249" s="22"/>
      <c r="PQV249" s="22"/>
      <c r="PQW249" s="22"/>
      <c r="PQX249" s="22"/>
      <c r="PQY249" s="22"/>
      <c r="PQZ249" s="22"/>
      <c r="PRA249" s="22"/>
      <c r="PRB249" s="22"/>
      <c r="PRC249" s="22"/>
      <c r="PRD249" s="22"/>
      <c r="PRE249" s="22"/>
      <c r="PRF249" s="22"/>
      <c r="PRG249" s="22"/>
      <c r="PRH249" s="22"/>
      <c r="PRI249" s="22"/>
      <c r="PRJ249" s="22"/>
      <c r="PRK249" s="22"/>
      <c r="PRL249" s="22"/>
      <c r="PRM249" s="22"/>
      <c r="PRN249" s="22"/>
      <c r="PRO249" s="22"/>
      <c r="PRP249" s="22"/>
      <c r="PRQ249" s="22"/>
      <c r="PRR249" s="22"/>
      <c r="PRS249" s="22"/>
      <c r="PRT249" s="22"/>
      <c r="PRU249" s="22"/>
      <c r="PRV249" s="22"/>
      <c r="PRW249" s="22"/>
      <c r="PRX249" s="22"/>
      <c r="PRY249" s="22"/>
      <c r="PRZ249" s="22"/>
      <c r="PSA249" s="22"/>
      <c r="PSB249" s="22"/>
      <c r="PSC249" s="22"/>
      <c r="PSD249" s="22"/>
      <c r="PSE249" s="22"/>
      <c r="PSF249" s="22"/>
      <c r="PSG249" s="22"/>
      <c r="PSH249" s="22"/>
      <c r="PSI249" s="22"/>
      <c r="PSJ249" s="22"/>
      <c r="PSK249" s="22"/>
      <c r="PSL249" s="22"/>
      <c r="PSM249" s="22"/>
      <c r="PSN249" s="22"/>
      <c r="PSO249" s="22"/>
      <c r="PSP249" s="22"/>
      <c r="PSQ249" s="22"/>
      <c r="PSR249" s="22"/>
      <c r="PSS249" s="22"/>
      <c r="PST249" s="22"/>
      <c r="PSU249" s="22"/>
      <c r="PSV249" s="22"/>
      <c r="PSW249" s="22"/>
      <c r="PSX249" s="22"/>
      <c r="PSY249" s="22"/>
      <c r="PSZ249" s="22"/>
      <c r="PTA249" s="22"/>
      <c r="PTB249" s="22"/>
      <c r="PTC249" s="22"/>
      <c r="PTD249" s="22"/>
      <c r="PTE249" s="22"/>
      <c r="PTF249" s="22"/>
      <c r="PTG249" s="22"/>
      <c r="PTH249" s="22"/>
      <c r="PTI249" s="22"/>
      <c r="PTJ249" s="22"/>
      <c r="PTK249" s="22"/>
      <c r="PTL249" s="22"/>
      <c r="PTM249" s="22"/>
      <c r="PTN249" s="22"/>
      <c r="PTO249" s="22"/>
      <c r="PTP249" s="22"/>
      <c r="PTQ249" s="22"/>
      <c r="PTR249" s="22"/>
      <c r="PTS249" s="22"/>
      <c r="PTT249" s="22"/>
      <c r="PTU249" s="22"/>
      <c r="PTV249" s="22"/>
      <c r="PTW249" s="22"/>
      <c r="PTX249" s="22"/>
      <c r="PTY249" s="22"/>
      <c r="PTZ249" s="22"/>
      <c r="PUA249" s="22"/>
      <c r="PUB249" s="22"/>
      <c r="PUC249" s="22"/>
      <c r="PUD249" s="22"/>
      <c r="PUE249" s="22"/>
      <c r="PUF249" s="22"/>
      <c r="PUG249" s="22"/>
      <c r="PUH249" s="22"/>
      <c r="PUI249" s="22"/>
      <c r="PUJ249" s="22"/>
      <c r="PUK249" s="22"/>
      <c r="PUL249" s="22"/>
      <c r="PUM249" s="22"/>
      <c r="PUN249" s="22"/>
      <c r="PUO249" s="22"/>
      <c r="PUP249" s="22"/>
      <c r="PUQ249" s="22"/>
      <c r="PUR249" s="22"/>
      <c r="PUS249" s="22"/>
      <c r="PUT249" s="22"/>
      <c r="PUU249" s="22"/>
      <c r="PUV249" s="22"/>
      <c r="PUW249" s="22"/>
      <c r="PUX249" s="22"/>
      <c r="PUY249" s="22"/>
      <c r="PUZ249" s="22"/>
      <c r="PVA249" s="22"/>
      <c r="PVB249" s="22"/>
      <c r="PVC249" s="22"/>
      <c r="PVD249" s="22"/>
      <c r="PVE249" s="22"/>
      <c r="PVF249" s="22"/>
      <c r="PVG249" s="22"/>
      <c r="PVH249" s="22"/>
      <c r="PVI249" s="22"/>
      <c r="PVJ249" s="22"/>
      <c r="PVK249" s="22"/>
      <c r="PVL249" s="22"/>
      <c r="PVM249" s="22"/>
      <c r="PVN249" s="22"/>
      <c r="PVO249" s="22"/>
      <c r="PVP249" s="22"/>
      <c r="PVQ249" s="22"/>
      <c r="PVR249" s="22"/>
      <c r="PVS249" s="22"/>
      <c r="PVT249" s="22"/>
      <c r="PVU249" s="22"/>
      <c r="PVV249" s="22"/>
      <c r="PVW249" s="22"/>
      <c r="PVX249" s="22"/>
      <c r="PVY249" s="22"/>
      <c r="PVZ249" s="22"/>
      <c r="PWA249" s="22"/>
      <c r="PWB249" s="22"/>
      <c r="PWC249" s="22"/>
      <c r="PWD249" s="22"/>
      <c r="PWE249" s="22"/>
      <c r="PWF249" s="22"/>
      <c r="PWG249" s="22"/>
      <c r="PWH249" s="22"/>
      <c r="PWI249" s="22"/>
      <c r="PWJ249" s="22"/>
      <c r="PWK249" s="22"/>
      <c r="PWL249" s="22"/>
      <c r="PWM249" s="22"/>
      <c r="PWN249" s="22"/>
      <c r="PWO249" s="22"/>
      <c r="PWP249" s="22"/>
      <c r="PWQ249" s="22"/>
      <c r="PWR249" s="22"/>
      <c r="PWS249" s="22"/>
      <c r="PWT249" s="22"/>
      <c r="PWU249" s="22"/>
      <c r="PWV249" s="22"/>
      <c r="PWW249" s="22"/>
      <c r="PWX249" s="22"/>
      <c r="PWY249" s="22"/>
      <c r="PWZ249" s="22"/>
      <c r="PXA249" s="22"/>
      <c r="PXB249" s="22"/>
      <c r="PXC249" s="22"/>
      <c r="PXD249" s="22"/>
      <c r="PXE249" s="22"/>
      <c r="PXF249" s="22"/>
      <c r="PXG249" s="22"/>
      <c r="PXH249" s="22"/>
      <c r="PXI249" s="22"/>
      <c r="PXJ249" s="22"/>
      <c r="PXK249" s="22"/>
      <c r="PXL249" s="22"/>
      <c r="PXM249" s="22"/>
      <c r="PXN249" s="22"/>
      <c r="PXO249" s="22"/>
      <c r="PXP249" s="22"/>
      <c r="PXQ249" s="22"/>
      <c r="PXR249" s="22"/>
      <c r="PXS249" s="22"/>
      <c r="PXT249" s="22"/>
      <c r="PXU249" s="22"/>
      <c r="PXV249" s="22"/>
      <c r="PXW249" s="22"/>
      <c r="PXX249" s="22"/>
      <c r="PXY249" s="22"/>
      <c r="PXZ249" s="22"/>
      <c r="PYA249" s="22"/>
      <c r="PYB249" s="22"/>
      <c r="PYC249" s="22"/>
      <c r="PYD249" s="22"/>
      <c r="PYE249" s="22"/>
      <c r="PYF249" s="22"/>
      <c r="PYG249" s="22"/>
      <c r="PYH249" s="22"/>
      <c r="PYI249" s="22"/>
      <c r="PYJ249" s="22"/>
      <c r="PYK249" s="22"/>
      <c r="PYL249" s="22"/>
      <c r="PYM249" s="22"/>
      <c r="PYN249" s="22"/>
      <c r="PYO249" s="22"/>
      <c r="PYP249" s="22"/>
      <c r="PYQ249" s="22"/>
      <c r="PYR249" s="22"/>
      <c r="PYS249" s="22"/>
      <c r="PYT249" s="22"/>
      <c r="PYU249" s="22"/>
      <c r="PYV249" s="22"/>
      <c r="PYW249" s="22"/>
      <c r="PYX249" s="22"/>
      <c r="PYY249" s="22"/>
      <c r="PYZ249" s="22"/>
      <c r="PZA249" s="22"/>
      <c r="PZB249" s="22"/>
      <c r="PZC249" s="22"/>
      <c r="PZD249" s="22"/>
      <c r="PZE249" s="22"/>
      <c r="PZF249" s="22"/>
      <c r="PZG249" s="22"/>
      <c r="PZH249" s="22"/>
      <c r="PZI249" s="22"/>
      <c r="PZJ249" s="22"/>
      <c r="PZK249" s="22"/>
      <c r="PZL249" s="22"/>
      <c r="PZM249" s="22"/>
      <c r="PZN249" s="22"/>
      <c r="PZO249" s="22"/>
      <c r="PZP249" s="22"/>
      <c r="PZQ249" s="22"/>
      <c r="PZR249" s="22"/>
      <c r="PZS249" s="22"/>
      <c r="PZT249" s="22"/>
      <c r="PZU249" s="22"/>
      <c r="PZV249" s="22"/>
      <c r="PZW249" s="22"/>
      <c r="PZX249" s="22"/>
      <c r="PZY249" s="22"/>
      <c r="PZZ249" s="22"/>
      <c r="QAA249" s="22"/>
      <c r="QAB249" s="22"/>
      <c r="QAC249" s="22"/>
      <c r="QAD249" s="22"/>
      <c r="QAE249" s="22"/>
      <c r="QAF249" s="22"/>
      <c r="QAG249" s="22"/>
      <c r="QAH249" s="22"/>
      <c r="QAI249" s="22"/>
      <c r="QAJ249" s="22"/>
      <c r="QAK249" s="22"/>
      <c r="QAL249" s="22"/>
      <c r="QAM249" s="22"/>
      <c r="QAN249" s="22"/>
      <c r="QAO249" s="22"/>
      <c r="QAP249" s="22"/>
      <c r="QAQ249" s="22"/>
      <c r="QAR249" s="22"/>
      <c r="QAS249" s="22"/>
      <c r="QAT249" s="22"/>
      <c r="QAU249" s="22"/>
      <c r="QAV249" s="22"/>
      <c r="QAW249" s="22"/>
      <c r="QAX249" s="22"/>
      <c r="QAY249" s="22"/>
      <c r="QAZ249" s="22"/>
      <c r="QBA249" s="22"/>
      <c r="QBB249" s="22"/>
      <c r="QBC249" s="22"/>
      <c r="QBD249" s="22"/>
      <c r="QBE249" s="22"/>
      <c r="QBF249" s="22"/>
      <c r="QBG249" s="22"/>
      <c r="QBH249" s="22"/>
      <c r="QBI249" s="22"/>
      <c r="QBJ249" s="22"/>
      <c r="QBK249" s="22"/>
      <c r="QBL249" s="22"/>
      <c r="QBM249" s="22"/>
      <c r="QBN249" s="22"/>
      <c r="QBO249" s="22"/>
      <c r="QBP249" s="22"/>
      <c r="QBQ249" s="22"/>
      <c r="QBR249" s="22"/>
      <c r="QBS249" s="22"/>
      <c r="QBT249" s="22"/>
      <c r="QBU249" s="22"/>
      <c r="QBV249" s="22"/>
      <c r="QBW249" s="22"/>
      <c r="QBX249" s="22"/>
      <c r="QBY249" s="22"/>
      <c r="QBZ249" s="22"/>
      <c r="QCA249" s="22"/>
      <c r="QCB249" s="22"/>
      <c r="QCC249" s="22"/>
      <c r="QCD249" s="22"/>
      <c r="QCE249" s="22"/>
      <c r="QCF249" s="22"/>
      <c r="QCG249" s="22"/>
      <c r="QCH249" s="22"/>
      <c r="QCI249" s="22"/>
      <c r="QCJ249" s="22"/>
      <c r="QCK249" s="22"/>
      <c r="QCL249" s="22"/>
      <c r="QCM249" s="22"/>
      <c r="QCN249" s="22"/>
      <c r="QCO249" s="22"/>
      <c r="QCP249" s="22"/>
      <c r="QCQ249" s="22"/>
      <c r="QCR249" s="22"/>
      <c r="QCS249" s="22"/>
      <c r="QCT249" s="22"/>
      <c r="QCU249" s="22"/>
      <c r="QCV249" s="22"/>
      <c r="QCW249" s="22"/>
      <c r="QCX249" s="22"/>
      <c r="QCY249" s="22"/>
      <c r="QCZ249" s="22"/>
      <c r="QDA249" s="22"/>
      <c r="QDB249" s="22"/>
      <c r="QDC249" s="22"/>
      <c r="QDD249" s="22"/>
      <c r="QDE249" s="22"/>
      <c r="QDF249" s="22"/>
      <c r="QDG249" s="22"/>
      <c r="QDH249" s="22"/>
      <c r="QDI249" s="22"/>
      <c r="QDJ249" s="22"/>
      <c r="QDK249" s="22"/>
      <c r="QDL249" s="22"/>
      <c r="QDM249" s="22"/>
      <c r="QDN249" s="22"/>
      <c r="QDO249" s="22"/>
      <c r="QDP249" s="22"/>
      <c r="QDQ249" s="22"/>
      <c r="QDR249" s="22"/>
      <c r="QDS249" s="22"/>
      <c r="QDT249" s="22"/>
      <c r="QDU249" s="22"/>
      <c r="QDV249" s="22"/>
      <c r="QDW249" s="22"/>
      <c r="QDX249" s="22"/>
      <c r="QDY249" s="22"/>
      <c r="QDZ249" s="22"/>
      <c r="QEA249" s="22"/>
      <c r="QEB249" s="22"/>
      <c r="QEC249" s="22"/>
      <c r="QED249" s="22"/>
      <c r="QEE249" s="22"/>
      <c r="QEF249" s="22"/>
      <c r="QEG249" s="22"/>
      <c r="QEH249" s="22"/>
      <c r="QEI249" s="22"/>
      <c r="QEJ249" s="22"/>
      <c r="QEK249" s="22"/>
      <c r="QEL249" s="22"/>
      <c r="QEM249" s="22"/>
      <c r="QEN249" s="22"/>
      <c r="QEO249" s="22"/>
      <c r="QEP249" s="22"/>
      <c r="QEQ249" s="22"/>
      <c r="QER249" s="22"/>
      <c r="QES249" s="22"/>
      <c r="QET249" s="22"/>
      <c r="QEU249" s="22"/>
      <c r="QEV249" s="22"/>
      <c r="QEW249" s="22"/>
      <c r="QEX249" s="22"/>
      <c r="QEY249" s="22"/>
      <c r="QEZ249" s="22"/>
      <c r="QFA249" s="22"/>
      <c r="QFB249" s="22"/>
      <c r="QFC249" s="22"/>
      <c r="QFD249" s="22"/>
      <c r="QFE249" s="22"/>
      <c r="QFF249" s="22"/>
      <c r="QFG249" s="22"/>
      <c r="QFH249" s="22"/>
      <c r="QFI249" s="22"/>
      <c r="QFJ249" s="22"/>
      <c r="QFK249" s="22"/>
      <c r="QFL249" s="22"/>
      <c r="QFM249" s="22"/>
      <c r="QFN249" s="22"/>
      <c r="QFO249" s="22"/>
      <c r="QFP249" s="22"/>
      <c r="QFQ249" s="22"/>
      <c r="QFR249" s="22"/>
      <c r="QFS249" s="22"/>
      <c r="QFT249" s="22"/>
      <c r="QFU249" s="22"/>
      <c r="QFV249" s="22"/>
      <c r="QFW249" s="22"/>
      <c r="QFX249" s="22"/>
      <c r="QFY249" s="22"/>
      <c r="QFZ249" s="22"/>
      <c r="QGA249" s="22"/>
      <c r="QGB249" s="22"/>
      <c r="QGC249" s="22"/>
      <c r="QGD249" s="22"/>
      <c r="QGE249" s="22"/>
      <c r="QGF249" s="22"/>
      <c r="QGG249" s="22"/>
      <c r="QGH249" s="22"/>
      <c r="QGI249" s="22"/>
      <c r="QGJ249" s="22"/>
      <c r="QGK249" s="22"/>
      <c r="QGL249" s="22"/>
      <c r="QGM249" s="22"/>
      <c r="QGN249" s="22"/>
      <c r="QGO249" s="22"/>
      <c r="QGP249" s="22"/>
      <c r="QGQ249" s="22"/>
      <c r="QGR249" s="22"/>
      <c r="QGS249" s="22"/>
      <c r="QGT249" s="22"/>
      <c r="QGU249" s="22"/>
      <c r="QGV249" s="22"/>
      <c r="QGW249" s="22"/>
      <c r="QGX249" s="22"/>
      <c r="QGY249" s="22"/>
      <c r="QGZ249" s="22"/>
      <c r="QHA249" s="22"/>
      <c r="QHB249" s="22"/>
      <c r="QHC249" s="22"/>
      <c r="QHD249" s="22"/>
      <c r="QHE249" s="22"/>
      <c r="QHF249" s="22"/>
      <c r="QHG249" s="22"/>
      <c r="QHH249" s="22"/>
      <c r="QHI249" s="22"/>
      <c r="QHJ249" s="22"/>
      <c r="QHK249" s="22"/>
      <c r="QHL249" s="22"/>
      <c r="QHM249" s="22"/>
      <c r="QHN249" s="22"/>
      <c r="QHO249" s="22"/>
      <c r="QHP249" s="22"/>
      <c r="QHQ249" s="22"/>
      <c r="QHR249" s="22"/>
      <c r="QHS249" s="22"/>
      <c r="QHT249" s="22"/>
      <c r="QHU249" s="22"/>
      <c r="QHV249" s="22"/>
      <c r="QHW249" s="22"/>
      <c r="QHX249" s="22"/>
      <c r="QHY249" s="22"/>
      <c r="QHZ249" s="22"/>
      <c r="QIA249" s="22"/>
      <c r="QIB249" s="22"/>
      <c r="QIC249" s="22"/>
      <c r="QID249" s="22"/>
      <c r="QIE249" s="22"/>
      <c r="QIF249" s="22"/>
      <c r="QIG249" s="22"/>
      <c r="QIH249" s="22"/>
      <c r="QII249" s="22"/>
      <c r="QIJ249" s="22"/>
      <c r="QIK249" s="22"/>
      <c r="QIL249" s="22"/>
      <c r="QIM249" s="22"/>
      <c r="QIN249" s="22"/>
      <c r="QIO249" s="22"/>
      <c r="QIP249" s="22"/>
      <c r="QIQ249" s="22"/>
      <c r="QIR249" s="22"/>
      <c r="QIS249" s="22"/>
      <c r="QIT249" s="22"/>
      <c r="QIU249" s="22"/>
      <c r="QIV249" s="22"/>
      <c r="QIW249" s="22"/>
      <c r="QIX249" s="22"/>
      <c r="QIY249" s="22"/>
      <c r="QIZ249" s="22"/>
      <c r="QJA249" s="22"/>
      <c r="QJB249" s="22"/>
      <c r="QJC249" s="22"/>
      <c r="QJD249" s="22"/>
      <c r="QJE249" s="22"/>
      <c r="QJF249" s="22"/>
      <c r="QJG249" s="22"/>
      <c r="QJH249" s="22"/>
      <c r="QJI249" s="22"/>
      <c r="QJJ249" s="22"/>
      <c r="QJK249" s="22"/>
      <c r="QJL249" s="22"/>
      <c r="QJM249" s="22"/>
      <c r="QJN249" s="22"/>
      <c r="QJO249" s="22"/>
      <c r="QJP249" s="22"/>
      <c r="QJQ249" s="22"/>
      <c r="QJR249" s="22"/>
      <c r="QJS249" s="22"/>
      <c r="QJT249" s="22"/>
      <c r="QJU249" s="22"/>
      <c r="QJV249" s="22"/>
      <c r="QJW249" s="22"/>
      <c r="QJX249" s="22"/>
      <c r="QJY249" s="22"/>
      <c r="QJZ249" s="22"/>
      <c r="QKA249" s="22"/>
      <c r="QKB249" s="22"/>
      <c r="QKC249" s="22"/>
      <c r="QKD249" s="22"/>
      <c r="QKE249" s="22"/>
      <c r="QKF249" s="22"/>
      <c r="QKG249" s="22"/>
      <c r="QKH249" s="22"/>
      <c r="QKI249" s="22"/>
      <c r="QKJ249" s="22"/>
      <c r="QKK249" s="22"/>
      <c r="QKL249" s="22"/>
      <c r="QKM249" s="22"/>
      <c r="QKN249" s="22"/>
      <c r="QKO249" s="22"/>
      <c r="QKP249" s="22"/>
      <c r="QKQ249" s="22"/>
      <c r="QKR249" s="22"/>
      <c r="QKS249" s="22"/>
      <c r="QKT249" s="22"/>
      <c r="QKU249" s="22"/>
      <c r="QKV249" s="22"/>
      <c r="QKW249" s="22"/>
      <c r="QKX249" s="22"/>
      <c r="QKY249" s="22"/>
      <c r="QKZ249" s="22"/>
      <c r="QLA249" s="22"/>
      <c r="QLB249" s="22"/>
      <c r="QLC249" s="22"/>
      <c r="QLD249" s="22"/>
      <c r="QLE249" s="22"/>
      <c r="QLF249" s="22"/>
      <c r="QLG249" s="22"/>
      <c r="QLH249" s="22"/>
      <c r="QLI249" s="22"/>
      <c r="QLJ249" s="22"/>
      <c r="QLK249" s="22"/>
      <c r="QLL249" s="22"/>
      <c r="QLM249" s="22"/>
      <c r="QLN249" s="22"/>
      <c r="QLO249" s="22"/>
      <c r="QLP249" s="22"/>
      <c r="QLQ249" s="22"/>
      <c r="QLR249" s="22"/>
      <c r="QLS249" s="22"/>
      <c r="QLT249" s="22"/>
      <c r="QLU249" s="22"/>
      <c r="QLV249" s="22"/>
      <c r="QLW249" s="22"/>
      <c r="QLX249" s="22"/>
      <c r="QLY249" s="22"/>
      <c r="QLZ249" s="22"/>
      <c r="QMA249" s="22"/>
      <c r="QMB249" s="22"/>
      <c r="QMC249" s="22"/>
      <c r="QMD249" s="22"/>
      <c r="QME249" s="22"/>
      <c r="QMF249" s="22"/>
      <c r="QMG249" s="22"/>
      <c r="QMH249" s="22"/>
      <c r="QMI249" s="22"/>
      <c r="QMJ249" s="22"/>
      <c r="QMK249" s="22"/>
      <c r="QML249" s="22"/>
      <c r="QMM249" s="22"/>
      <c r="QMN249" s="22"/>
      <c r="QMO249" s="22"/>
      <c r="QMP249" s="22"/>
      <c r="QMQ249" s="22"/>
      <c r="QMR249" s="22"/>
      <c r="QMS249" s="22"/>
      <c r="QMT249" s="22"/>
      <c r="QMU249" s="22"/>
      <c r="QMV249" s="22"/>
      <c r="QMW249" s="22"/>
      <c r="QMX249" s="22"/>
      <c r="QMY249" s="22"/>
      <c r="QMZ249" s="22"/>
      <c r="QNA249" s="22"/>
      <c r="QNB249" s="22"/>
      <c r="QNC249" s="22"/>
      <c r="QND249" s="22"/>
      <c r="QNE249" s="22"/>
      <c r="QNF249" s="22"/>
      <c r="QNG249" s="22"/>
      <c r="QNH249" s="22"/>
      <c r="QNI249" s="22"/>
      <c r="QNJ249" s="22"/>
      <c r="QNK249" s="22"/>
      <c r="QNL249" s="22"/>
      <c r="QNM249" s="22"/>
      <c r="QNN249" s="22"/>
      <c r="QNO249" s="22"/>
      <c r="QNP249" s="22"/>
      <c r="QNQ249" s="22"/>
      <c r="QNR249" s="22"/>
      <c r="QNS249" s="22"/>
      <c r="QNT249" s="22"/>
      <c r="QNU249" s="22"/>
      <c r="QNV249" s="22"/>
      <c r="QNW249" s="22"/>
      <c r="QNX249" s="22"/>
      <c r="QNY249" s="22"/>
      <c r="QNZ249" s="22"/>
      <c r="QOA249" s="22"/>
      <c r="QOB249" s="22"/>
      <c r="QOC249" s="22"/>
      <c r="QOD249" s="22"/>
      <c r="QOE249" s="22"/>
      <c r="QOF249" s="22"/>
      <c r="QOG249" s="22"/>
      <c r="QOH249" s="22"/>
      <c r="QOI249" s="22"/>
      <c r="QOJ249" s="22"/>
      <c r="QOK249" s="22"/>
      <c r="QOL249" s="22"/>
      <c r="QOM249" s="22"/>
      <c r="QON249" s="22"/>
      <c r="QOO249" s="22"/>
      <c r="QOP249" s="22"/>
      <c r="QOQ249" s="22"/>
      <c r="QOR249" s="22"/>
      <c r="QOS249" s="22"/>
      <c r="QOT249" s="22"/>
      <c r="QOU249" s="22"/>
      <c r="QOV249" s="22"/>
      <c r="QOW249" s="22"/>
      <c r="QOX249" s="22"/>
      <c r="QOY249" s="22"/>
      <c r="QOZ249" s="22"/>
      <c r="QPA249" s="22"/>
      <c r="QPB249" s="22"/>
      <c r="QPC249" s="22"/>
      <c r="QPD249" s="22"/>
      <c r="QPE249" s="22"/>
      <c r="QPF249" s="22"/>
      <c r="QPG249" s="22"/>
      <c r="QPH249" s="22"/>
      <c r="QPI249" s="22"/>
      <c r="QPJ249" s="22"/>
      <c r="QPK249" s="22"/>
      <c r="QPL249" s="22"/>
      <c r="QPM249" s="22"/>
      <c r="QPN249" s="22"/>
      <c r="QPO249" s="22"/>
      <c r="QPP249" s="22"/>
      <c r="QPQ249" s="22"/>
      <c r="QPR249" s="22"/>
      <c r="QPS249" s="22"/>
      <c r="QPT249" s="22"/>
      <c r="QPU249" s="22"/>
      <c r="QPV249" s="22"/>
      <c r="QPW249" s="22"/>
      <c r="QPX249" s="22"/>
      <c r="QPY249" s="22"/>
      <c r="QPZ249" s="22"/>
      <c r="QQA249" s="22"/>
      <c r="QQB249" s="22"/>
      <c r="QQC249" s="22"/>
      <c r="QQD249" s="22"/>
      <c r="QQE249" s="22"/>
      <c r="QQF249" s="22"/>
      <c r="QQG249" s="22"/>
      <c r="QQH249" s="22"/>
      <c r="QQI249" s="22"/>
      <c r="QQJ249" s="22"/>
      <c r="QQK249" s="22"/>
      <c r="QQL249" s="22"/>
      <c r="QQM249" s="22"/>
      <c r="QQN249" s="22"/>
      <c r="QQO249" s="22"/>
      <c r="QQP249" s="22"/>
      <c r="QQQ249" s="22"/>
      <c r="QQR249" s="22"/>
      <c r="QQS249" s="22"/>
      <c r="QQT249" s="22"/>
      <c r="QQU249" s="22"/>
      <c r="QQV249" s="22"/>
      <c r="QQW249" s="22"/>
      <c r="QQX249" s="22"/>
      <c r="QQY249" s="22"/>
      <c r="QQZ249" s="22"/>
      <c r="QRA249" s="22"/>
      <c r="QRB249" s="22"/>
      <c r="QRC249" s="22"/>
      <c r="QRD249" s="22"/>
      <c r="QRE249" s="22"/>
      <c r="QRF249" s="22"/>
      <c r="QRG249" s="22"/>
      <c r="QRH249" s="22"/>
      <c r="QRI249" s="22"/>
      <c r="QRJ249" s="22"/>
      <c r="QRK249" s="22"/>
      <c r="QRL249" s="22"/>
      <c r="QRM249" s="22"/>
      <c r="QRN249" s="22"/>
      <c r="QRO249" s="22"/>
      <c r="QRP249" s="22"/>
      <c r="QRQ249" s="22"/>
      <c r="QRR249" s="22"/>
      <c r="QRS249" s="22"/>
      <c r="QRT249" s="22"/>
      <c r="QRU249" s="22"/>
      <c r="QRV249" s="22"/>
      <c r="QRW249" s="22"/>
      <c r="QRX249" s="22"/>
      <c r="QRY249" s="22"/>
      <c r="QRZ249" s="22"/>
      <c r="QSA249" s="22"/>
      <c r="QSB249" s="22"/>
      <c r="QSC249" s="22"/>
      <c r="QSD249" s="22"/>
      <c r="QSE249" s="22"/>
      <c r="QSF249" s="22"/>
      <c r="QSG249" s="22"/>
      <c r="QSH249" s="22"/>
      <c r="QSI249" s="22"/>
      <c r="QSJ249" s="22"/>
      <c r="QSK249" s="22"/>
      <c r="QSL249" s="22"/>
      <c r="QSM249" s="22"/>
      <c r="QSN249" s="22"/>
      <c r="QSO249" s="22"/>
      <c r="QSP249" s="22"/>
      <c r="QSQ249" s="22"/>
      <c r="QSR249" s="22"/>
      <c r="QSS249" s="22"/>
      <c r="QST249" s="22"/>
      <c r="QSU249" s="22"/>
      <c r="QSV249" s="22"/>
      <c r="QSW249" s="22"/>
      <c r="QSX249" s="22"/>
      <c r="QSY249" s="22"/>
      <c r="QSZ249" s="22"/>
      <c r="QTA249" s="22"/>
      <c r="QTB249" s="22"/>
      <c r="QTC249" s="22"/>
      <c r="QTD249" s="22"/>
      <c r="QTE249" s="22"/>
      <c r="QTF249" s="22"/>
      <c r="QTG249" s="22"/>
      <c r="QTH249" s="22"/>
      <c r="QTI249" s="22"/>
      <c r="QTJ249" s="22"/>
      <c r="QTK249" s="22"/>
      <c r="QTL249" s="22"/>
      <c r="QTM249" s="22"/>
      <c r="QTN249" s="22"/>
      <c r="QTO249" s="22"/>
      <c r="QTP249" s="22"/>
      <c r="QTQ249" s="22"/>
      <c r="QTR249" s="22"/>
      <c r="QTS249" s="22"/>
      <c r="QTT249" s="22"/>
      <c r="QTU249" s="22"/>
      <c r="QTV249" s="22"/>
      <c r="QTW249" s="22"/>
      <c r="QTX249" s="22"/>
      <c r="QTY249" s="22"/>
      <c r="QTZ249" s="22"/>
      <c r="QUA249" s="22"/>
      <c r="QUB249" s="22"/>
      <c r="QUC249" s="22"/>
      <c r="QUD249" s="22"/>
      <c r="QUE249" s="22"/>
      <c r="QUF249" s="22"/>
      <c r="QUG249" s="22"/>
      <c r="QUH249" s="22"/>
      <c r="QUI249" s="22"/>
      <c r="QUJ249" s="22"/>
      <c r="QUK249" s="22"/>
      <c r="QUL249" s="22"/>
      <c r="QUM249" s="22"/>
      <c r="QUN249" s="22"/>
      <c r="QUO249" s="22"/>
      <c r="QUP249" s="22"/>
      <c r="QUQ249" s="22"/>
      <c r="QUR249" s="22"/>
      <c r="QUS249" s="22"/>
      <c r="QUT249" s="22"/>
      <c r="QUU249" s="22"/>
      <c r="QUV249" s="22"/>
      <c r="QUW249" s="22"/>
      <c r="QUX249" s="22"/>
      <c r="QUY249" s="22"/>
      <c r="QUZ249" s="22"/>
      <c r="QVA249" s="22"/>
      <c r="QVB249" s="22"/>
      <c r="QVC249" s="22"/>
      <c r="QVD249" s="22"/>
      <c r="QVE249" s="22"/>
      <c r="QVF249" s="22"/>
      <c r="QVG249" s="22"/>
      <c r="QVH249" s="22"/>
      <c r="QVI249" s="22"/>
      <c r="QVJ249" s="22"/>
      <c r="QVK249" s="22"/>
      <c r="QVL249" s="22"/>
      <c r="QVM249" s="22"/>
      <c r="QVN249" s="22"/>
      <c r="QVO249" s="22"/>
      <c r="QVP249" s="22"/>
      <c r="QVQ249" s="22"/>
      <c r="QVR249" s="22"/>
      <c r="QVS249" s="22"/>
      <c r="QVT249" s="22"/>
      <c r="QVU249" s="22"/>
      <c r="QVV249" s="22"/>
      <c r="QVW249" s="22"/>
      <c r="QVX249" s="22"/>
      <c r="QVY249" s="22"/>
      <c r="QVZ249" s="22"/>
      <c r="QWA249" s="22"/>
      <c r="QWB249" s="22"/>
      <c r="QWC249" s="22"/>
      <c r="QWD249" s="22"/>
      <c r="QWE249" s="22"/>
      <c r="QWF249" s="22"/>
      <c r="QWG249" s="22"/>
      <c r="QWH249" s="22"/>
      <c r="QWI249" s="22"/>
      <c r="QWJ249" s="22"/>
      <c r="QWK249" s="22"/>
      <c r="QWL249" s="22"/>
      <c r="QWM249" s="22"/>
      <c r="QWN249" s="22"/>
      <c r="QWO249" s="22"/>
      <c r="QWP249" s="22"/>
      <c r="QWQ249" s="22"/>
      <c r="QWR249" s="22"/>
      <c r="QWS249" s="22"/>
      <c r="QWT249" s="22"/>
      <c r="QWU249" s="22"/>
      <c r="QWV249" s="22"/>
      <c r="QWW249" s="22"/>
      <c r="QWX249" s="22"/>
      <c r="QWY249" s="22"/>
      <c r="QWZ249" s="22"/>
      <c r="QXA249" s="22"/>
      <c r="QXB249" s="22"/>
      <c r="QXC249" s="22"/>
      <c r="QXD249" s="22"/>
      <c r="QXE249" s="22"/>
      <c r="QXF249" s="22"/>
      <c r="QXG249" s="22"/>
      <c r="QXH249" s="22"/>
      <c r="QXI249" s="22"/>
      <c r="QXJ249" s="22"/>
      <c r="QXK249" s="22"/>
      <c r="QXL249" s="22"/>
      <c r="QXM249" s="22"/>
      <c r="QXN249" s="22"/>
      <c r="QXO249" s="22"/>
      <c r="QXP249" s="22"/>
      <c r="QXQ249" s="22"/>
      <c r="QXR249" s="22"/>
      <c r="QXS249" s="22"/>
      <c r="QXT249" s="22"/>
      <c r="QXU249" s="22"/>
      <c r="QXV249" s="22"/>
      <c r="QXW249" s="22"/>
      <c r="QXX249" s="22"/>
      <c r="QXY249" s="22"/>
      <c r="QXZ249" s="22"/>
      <c r="QYA249" s="22"/>
      <c r="QYB249" s="22"/>
      <c r="QYC249" s="22"/>
      <c r="QYD249" s="22"/>
      <c r="QYE249" s="22"/>
      <c r="QYF249" s="22"/>
      <c r="QYG249" s="22"/>
      <c r="QYH249" s="22"/>
      <c r="QYI249" s="22"/>
      <c r="QYJ249" s="22"/>
      <c r="QYK249" s="22"/>
      <c r="QYL249" s="22"/>
      <c r="QYM249" s="22"/>
      <c r="QYN249" s="22"/>
      <c r="QYO249" s="22"/>
      <c r="QYP249" s="22"/>
      <c r="QYQ249" s="22"/>
      <c r="QYR249" s="22"/>
      <c r="QYS249" s="22"/>
      <c r="QYT249" s="22"/>
      <c r="QYU249" s="22"/>
      <c r="QYV249" s="22"/>
      <c r="QYW249" s="22"/>
      <c r="QYX249" s="22"/>
      <c r="QYY249" s="22"/>
      <c r="QYZ249" s="22"/>
      <c r="QZA249" s="22"/>
      <c r="QZB249" s="22"/>
      <c r="QZC249" s="22"/>
      <c r="QZD249" s="22"/>
      <c r="QZE249" s="22"/>
      <c r="QZF249" s="22"/>
      <c r="QZG249" s="22"/>
      <c r="QZH249" s="22"/>
      <c r="QZI249" s="22"/>
      <c r="QZJ249" s="22"/>
      <c r="QZK249" s="22"/>
      <c r="QZL249" s="22"/>
      <c r="QZM249" s="22"/>
      <c r="QZN249" s="22"/>
      <c r="QZO249" s="22"/>
      <c r="QZP249" s="22"/>
      <c r="QZQ249" s="22"/>
      <c r="QZR249" s="22"/>
      <c r="QZS249" s="22"/>
      <c r="QZT249" s="22"/>
      <c r="QZU249" s="22"/>
      <c r="QZV249" s="22"/>
      <c r="QZW249" s="22"/>
      <c r="QZX249" s="22"/>
      <c r="QZY249" s="22"/>
      <c r="QZZ249" s="22"/>
      <c r="RAA249" s="22"/>
      <c r="RAB249" s="22"/>
      <c r="RAC249" s="22"/>
      <c r="RAD249" s="22"/>
      <c r="RAE249" s="22"/>
      <c r="RAF249" s="22"/>
      <c r="RAG249" s="22"/>
      <c r="RAH249" s="22"/>
      <c r="RAI249" s="22"/>
      <c r="RAJ249" s="22"/>
      <c r="RAK249" s="22"/>
      <c r="RAL249" s="22"/>
      <c r="RAM249" s="22"/>
      <c r="RAN249" s="22"/>
      <c r="RAO249" s="22"/>
      <c r="RAP249" s="22"/>
      <c r="RAQ249" s="22"/>
      <c r="RAR249" s="22"/>
      <c r="RAS249" s="22"/>
      <c r="RAT249" s="22"/>
      <c r="RAU249" s="22"/>
      <c r="RAV249" s="22"/>
      <c r="RAW249" s="22"/>
      <c r="RAX249" s="22"/>
      <c r="RAY249" s="22"/>
      <c r="RAZ249" s="22"/>
      <c r="RBA249" s="22"/>
      <c r="RBB249" s="22"/>
      <c r="RBC249" s="22"/>
      <c r="RBD249" s="22"/>
      <c r="RBE249" s="22"/>
      <c r="RBF249" s="22"/>
      <c r="RBG249" s="22"/>
      <c r="RBH249" s="22"/>
      <c r="RBI249" s="22"/>
      <c r="RBJ249" s="22"/>
      <c r="RBK249" s="22"/>
      <c r="RBL249" s="22"/>
      <c r="RBM249" s="22"/>
      <c r="RBN249" s="22"/>
      <c r="RBO249" s="22"/>
      <c r="RBP249" s="22"/>
      <c r="RBQ249" s="22"/>
      <c r="RBR249" s="22"/>
      <c r="RBS249" s="22"/>
      <c r="RBT249" s="22"/>
      <c r="RBU249" s="22"/>
      <c r="RBV249" s="22"/>
      <c r="RBW249" s="22"/>
      <c r="RBX249" s="22"/>
      <c r="RBY249" s="22"/>
      <c r="RBZ249" s="22"/>
      <c r="RCA249" s="22"/>
      <c r="RCB249" s="22"/>
      <c r="RCC249" s="22"/>
      <c r="RCD249" s="22"/>
      <c r="RCE249" s="22"/>
      <c r="RCF249" s="22"/>
      <c r="RCG249" s="22"/>
      <c r="RCH249" s="22"/>
      <c r="RCI249" s="22"/>
      <c r="RCJ249" s="22"/>
      <c r="RCK249" s="22"/>
      <c r="RCL249" s="22"/>
      <c r="RCM249" s="22"/>
      <c r="RCN249" s="22"/>
      <c r="RCO249" s="22"/>
      <c r="RCP249" s="22"/>
      <c r="RCQ249" s="22"/>
      <c r="RCR249" s="22"/>
      <c r="RCS249" s="22"/>
      <c r="RCT249" s="22"/>
      <c r="RCU249" s="22"/>
      <c r="RCV249" s="22"/>
      <c r="RCW249" s="22"/>
      <c r="RCX249" s="22"/>
      <c r="RCY249" s="22"/>
      <c r="RCZ249" s="22"/>
      <c r="RDA249" s="22"/>
      <c r="RDB249" s="22"/>
      <c r="RDC249" s="22"/>
      <c r="RDD249" s="22"/>
      <c r="RDE249" s="22"/>
      <c r="RDF249" s="22"/>
      <c r="RDG249" s="22"/>
      <c r="RDH249" s="22"/>
      <c r="RDI249" s="22"/>
      <c r="RDJ249" s="22"/>
      <c r="RDK249" s="22"/>
      <c r="RDL249" s="22"/>
      <c r="RDM249" s="22"/>
      <c r="RDN249" s="22"/>
      <c r="RDO249" s="22"/>
      <c r="RDP249" s="22"/>
      <c r="RDQ249" s="22"/>
      <c r="RDR249" s="22"/>
      <c r="RDS249" s="22"/>
      <c r="RDT249" s="22"/>
      <c r="RDU249" s="22"/>
      <c r="RDV249" s="22"/>
      <c r="RDW249" s="22"/>
      <c r="RDX249" s="22"/>
      <c r="RDY249" s="22"/>
      <c r="RDZ249" s="22"/>
      <c r="REA249" s="22"/>
      <c r="REB249" s="22"/>
      <c r="REC249" s="22"/>
      <c r="RED249" s="22"/>
      <c r="REE249" s="22"/>
      <c r="REF249" s="22"/>
      <c r="REG249" s="22"/>
      <c r="REH249" s="22"/>
      <c r="REI249" s="22"/>
      <c r="REJ249" s="22"/>
      <c r="REK249" s="22"/>
      <c r="REL249" s="22"/>
      <c r="REM249" s="22"/>
      <c r="REN249" s="22"/>
      <c r="REO249" s="22"/>
      <c r="REP249" s="22"/>
      <c r="REQ249" s="22"/>
      <c r="RER249" s="22"/>
      <c r="RES249" s="22"/>
      <c r="RET249" s="22"/>
      <c r="REU249" s="22"/>
      <c r="REV249" s="22"/>
      <c r="REW249" s="22"/>
      <c r="REX249" s="22"/>
      <c r="REY249" s="22"/>
      <c r="REZ249" s="22"/>
      <c r="RFA249" s="22"/>
      <c r="RFB249" s="22"/>
      <c r="RFC249" s="22"/>
      <c r="RFD249" s="22"/>
      <c r="RFE249" s="22"/>
      <c r="RFF249" s="22"/>
      <c r="RFG249" s="22"/>
      <c r="RFH249" s="22"/>
      <c r="RFI249" s="22"/>
      <c r="RFJ249" s="22"/>
      <c r="RFK249" s="22"/>
      <c r="RFL249" s="22"/>
      <c r="RFM249" s="22"/>
      <c r="RFN249" s="22"/>
      <c r="RFO249" s="22"/>
      <c r="RFP249" s="22"/>
      <c r="RFQ249" s="22"/>
      <c r="RFR249" s="22"/>
      <c r="RFS249" s="22"/>
      <c r="RFT249" s="22"/>
      <c r="RFU249" s="22"/>
      <c r="RFV249" s="22"/>
      <c r="RFW249" s="22"/>
      <c r="RFX249" s="22"/>
      <c r="RFY249" s="22"/>
      <c r="RFZ249" s="22"/>
      <c r="RGA249" s="22"/>
      <c r="RGB249" s="22"/>
      <c r="RGC249" s="22"/>
      <c r="RGD249" s="22"/>
      <c r="RGE249" s="22"/>
      <c r="RGF249" s="22"/>
      <c r="RGG249" s="22"/>
      <c r="RGH249" s="22"/>
      <c r="RGI249" s="22"/>
      <c r="RGJ249" s="22"/>
      <c r="RGK249" s="22"/>
      <c r="RGL249" s="22"/>
      <c r="RGM249" s="22"/>
      <c r="RGN249" s="22"/>
      <c r="RGO249" s="22"/>
      <c r="RGP249" s="22"/>
      <c r="RGQ249" s="22"/>
      <c r="RGR249" s="22"/>
      <c r="RGS249" s="22"/>
      <c r="RGT249" s="22"/>
      <c r="RGU249" s="22"/>
      <c r="RGV249" s="22"/>
      <c r="RGW249" s="22"/>
      <c r="RGX249" s="22"/>
      <c r="RGY249" s="22"/>
      <c r="RGZ249" s="22"/>
      <c r="RHA249" s="22"/>
      <c r="RHB249" s="22"/>
      <c r="RHC249" s="22"/>
      <c r="RHD249" s="22"/>
      <c r="RHE249" s="22"/>
      <c r="RHF249" s="22"/>
      <c r="RHG249" s="22"/>
      <c r="RHH249" s="22"/>
      <c r="RHI249" s="22"/>
      <c r="RHJ249" s="22"/>
      <c r="RHK249" s="22"/>
      <c r="RHL249" s="22"/>
      <c r="RHM249" s="22"/>
      <c r="RHN249" s="22"/>
      <c r="RHO249" s="22"/>
      <c r="RHP249" s="22"/>
      <c r="RHQ249" s="22"/>
      <c r="RHR249" s="22"/>
      <c r="RHS249" s="22"/>
      <c r="RHT249" s="22"/>
      <c r="RHU249" s="22"/>
      <c r="RHV249" s="22"/>
      <c r="RHW249" s="22"/>
      <c r="RHX249" s="22"/>
      <c r="RHY249" s="22"/>
      <c r="RHZ249" s="22"/>
      <c r="RIA249" s="22"/>
      <c r="RIB249" s="22"/>
      <c r="RIC249" s="22"/>
      <c r="RID249" s="22"/>
      <c r="RIE249" s="22"/>
      <c r="RIF249" s="22"/>
      <c r="RIG249" s="22"/>
      <c r="RIH249" s="22"/>
      <c r="RII249" s="22"/>
      <c r="RIJ249" s="22"/>
      <c r="RIK249" s="22"/>
      <c r="RIL249" s="22"/>
      <c r="RIM249" s="22"/>
      <c r="RIN249" s="22"/>
      <c r="RIO249" s="22"/>
      <c r="RIP249" s="22"/>
      <c r="RIQ249" s="22"/>
      <c r="RIR249" s="22"/>
      <c r="RIS249" s="22"/>
      <c r="RIT249" s="22"/>
      <c r="RIU249" s="22"/>
      <c r="RIV249" s="22"/>
      <c r="RIW249" s="22"/>
      <c r="RIX249" s="22"/>
      <c r="RIY249" s="22"/>
      <c r="RIZ249" s="22"/>
      <c r="RJA249" s="22"/>
      <c r="RJB249" s="22"/>
      <c r="RJC249" s="22"/>
      <c r="RJD249" s="22"/>
      <c r="RJE249" s="22"/>
      <c r="RJF249" s="22"/>
      <c r="RJG249" s="22"/>
      <c r="RJH249" s="22"/>
      <c r="RJI249" s="22"/>
      <c r="RJJ249" s="22"/>
      <c r="RJK249" s="22"/>
      <c r="RJL249" s="22"/>
      <c r="RJM249" s="22"/>
      <c r="RJN249" s="22"/>
      <c r="RJO249" s="22"/>
      <c r="RJP249" s="22"/>
      <c r="RJQ249" s="22"/>
      <c r="RJR249" s="22"/>
      <c r="RJS249" s="22"/>
      <c r="RJT249" s="22"/>
      <c r="RJU249" s="22"/>
      <c r="RJV249" s="22"/>
      <c r="RJW249" s="22"/>
      <c r="RJX249" s="22"/>
      <c r="RJY249" s="22"/>
      <c r="RJZ249" s="22"/>
      <c r="RKA249" s="22"/>
      <c r="RKB249" s="22"/>
      <c r="RKC249" s="22"/>
      <c r="RKD249" s="22"/>
      <c r="RKE249" s="22"/>
      <c r="RKF249" s="22"/>
      <c r="RKG249" s="22"/>
      <c r="RKH249" s="22"/>
      <c r="RKI249" s="22"/>
      <c r="RKJ249" s="22"/>
      <c r="RKK249" s="22"/>
      <c r="RKL249" s="22"/>
      <c r="RKM249" s="22"/>
      <c r="RKN249" s="22"/>
      <c r="RKO249" s="22"/>
      <c r="RKP249" s="22"/>
      <c r="RKQ249" s="22"/>
      <c r="RKR249" s="22"/>
      <c r="RKS249" s="22"/>
      <c r="RKT249" s="22"/>
      <c r="RKU249" s="22"/>
      <c r="RKV249" s="22"/>
      <c r="RKW249" s="22"/>
      <c r="RKX249" s="22"/>
      <c r="RKY249" s="22"/>
      <c r="RKZ249" s="22"/>
      <c r="RLA249" s="22"/>
      <c r="RLB249" s="22"/>
      <c r="RLC249" s="22"/>
      <c r="RLD249" s="22"/>
      <c r="RLE249" s="22"/>
      <c r="RLF249" s="22"/>
      <c r="RLG249" s="22"/>
      <c r="RLH249" s="22"/>
      <c r="RLI249" s="22"/>
      <c r="RLJ249" s="22"/>
      <c r="RLK249" s="22"/>
      <c r="RLL249" s="22"/>
      <c r="RLM249" s="22"/>
      <c r="RLN249" s="22"/>
      <c r="RLO249" s="22"/>
      <c r="RLP249" s="22"/>
      <c r="RLQ249" s="22"/>
      <c r="RLR249" s="22"/>
      <c r="RLS249" s="22"/>
      <c r="RLT249" s="22"/>
      <c r="RLU249" s="22"/>
      <c r="RLV249" s="22"/>
      <c r="RLW249" s="22"/>
      <c r="RLX249" s="22"/>
      <c r="RLY249" s="22"/>
      <c r="RLZ249" s="22"/>
      <c r="RMA249" s="22"/>
      <c r="RMB249" s="22"/>
      <c r="RMC249" s="22"/>
      <c r="RMD249" s="22"/>
      <c r="RME249" s="22"/>
      <c r="RMF249" s="22"/>
      <c r="RMG249" s="22"/>
      <c r="RMH249" s="22"/>
      <c r="RMI249" s="22"/>
      <c r="RMJ249" s="22"/>
      <c r="RMK249" s="22"/>
      <c r="RML249" s="22"/>
      <c r="RMM249" s="22"/>
      <c r="RMN249" s="22"/>
      <c r="RMO249" s="22"/>
      <c r="RMP249" s="22"/>
      <c r="RMQ249" s="22"/>
      <c r="RMR249" s="22"/>
      <c r="RMS249" s="22"/>
      <c r="RMT249" s="22"/>
      <c r="RMU249" s="22"/>
      <c r="RMV249" s="22"/>
      <c r="RMW249" s="22"/>
      <c r="RMX249" s="22"/>
      <c r="RMY249" s="22"/>
      <c r="RMZ249" s="22"/>
      <c r="RNA249" s="22"/>
      <c r="RNB249" s="22"/>
      <c r="RNC249" s="22"/>
      <c r="RND249" s="22"/>
      <c r="RNE249" s="22"/>
      <c r="RNF249" s="22"/>
      <c r="RNG249" s="22"/>
      <c r="RNH249" s="22"/>
      <c r="RNI249" s="22"/>
      <c r="RNJ249" s="22"/>
      <c r="RNK249" s="22"/>
      <c r="RNL249" s="22"/>
      <c r="RNM249" s="22"/>
      <c r="RNN249" s="22"/>
      <c r="RNO249" s="22"/>
      <c r="RNP249" s="22"/>
      <c r="RNQ249" s="22"/>
      <c r="RNR249" s="22"/>
      <c r="RNS249" s="22"/>
      <c r="RNT249" s="22"/>
      <c r="RNU249" s="22"/>
      <c r="RNV249" s="22"/>
      <c r="RNW249" s="22"/>
      <c r="RNX249" s="22"/>
      <c r="RNY249" s="22"/>
      <c r="RNZ249" s="22"/>
      <c r="ROA249" s="22"/>
      <c r="ROB249" s="22"/>
      <c r="ROC249" s="22"/>
      <c r="ROD249" s="22"/>
      <c r="ROE249" s="22"/>
      <c r="ROF249" s="22"/>
      <c r="ROG249" s="22"/>
      <c r="ROH249" s="22"/>
      <c r="ROI249" s="22"/>
      <c r="ROJ249" s="22"/>
      <c r="ROK249" s="22"/>
      <c r="ROL249" s="22"/>
      <c r="ROM249" s="22"/>
      <c r="RON249" s="22"/>
      <c r="ROO249" s="22"/>
      <c r="ROP249" s="22"/>
      <c r="ROQ249" s="22"/>
      <c r="ROR249" s="22"/>
      <c r="ROS249" s="22"/>
      <c r="ROT249" s="22"/>
      <c r="ROU249" s="22"/>
      <c r="ROV249" s="22"/>
      <c r="ROW249" s="22"/>
      <c r="ROX249" s="22"/>
      <c r="ROY249" s="22"/>
      <c r="ROZ249" s="22"/>
      <c r="RPA249" s="22"/>
      <c r="RPB249" s="22"/>
      <c r="RPC249" s="22"/>
      <c r="RPD249" s="22"/>
      <c r="RPE249" s="22"/>
      <c r="RPF249" s="22"/>
      <c r="RPG249" s="22"/>
      <c r="RPH249" s="22"/>
      <c r="RPI249" s="22"/>
      <c r="RPJ249" s="22"/>
      <c r="RPK249" s="22"/>
      <c r="RPL249" s="22"/>
      <c r="RPM249" s="22"/>
      <c r="RPN249" s="22"/>
      <c r="RPO249" s="22"/>
      <c r="RPP249" s="22"/>
      <c r="RPQ249" s="22"/>
      <c r="RPR249" s="22"/>
      <c r="RPS249" s="22"/>
      <c r="RPT249" s="22"/>
      <c r="RPU249" s="22"/>
      <c r="RPV249" s="22"/>
      <c r="RPW249" s="22"/>
      <c r="RPX249" s="22"/>
      <c r="RPY249" s="22"/>
      <c r="RPZ249" s="22"/>
      <c r="RQA249" s="22"/>
      <c r="RQB249" s="22"/>
      <c r="RQC249" s="22"/>
      <c r="RQD249" s="22"/>
      <c r="RQE249" s="22"/>
      <c r="RQF249" s="22"/>
      <c r="RQG249" s="22"/>
      <c r="RQH249" s="22"/>
      <c r="RQI249" s="22"/>
      <c r="RQJ249" s="22"/>
      <c r="RQK249" s="22"/>
      <c r="RQL249" s="22"/>
      <c r="RQM249" s="22"/>
      <c r="RQN249" s="22"/>
      <c r="RQO249" s="22"/>
      <c r="RQP249" s="22"/>
      <c r="RQQ249" s="22"/>
      <c r="RQR249" s="22"/>
      <c r="RQS249" s="22"/>
      <c r="RQT249" s="22"/>
      <c r="RQU249" s="22"/>
      <c r="RQV249" s="22"/>
      <c r="RQW249" s="22"/>
      <c r="RQX249" s="22"/>
      <c r="RQY249" s="22"/>
      <c r="RQZ249" s="22"/>
      <c r="RRA249" s="22"/>
      <c r="RRB249" s="22"/>
      <c r="RRC249" s="22"/>
      <c r="RRD249" s="22"/>
      <c r="RRE249" s="22"/>
      <c r="RRF249" s="22"/>
      <c r="RRG249" s="22"/>
      <c r="RRH249" s="22"/>
      <c r="RRI249" s="22"/>
      <c r="RRJ249" s="22"/>
      <c r="RRK249" s="22"/>
      <c r="RRL249" s="22"/>
      <c r="RRM249" s="22"/>
      <c r="RRN249" s="22"/>
      <c r="RRO249" s="22"/>
      <c r="RRP249" s="22"/>
      <c r="RRQ249" s="22"/>
      <c r="RRR249" s="22"/>
      <c r="RRS249" s="22"/>
      <c r="RRT249" s="22"/>
      <c r="RRU249" s="22"/>
      <c r="RRV249" s="22"/>
      <c r="RRW249" s="22"/>
      <c r="RRX249" s="22"/>
      <c r="RRY249" s="22"/>
      <c r="RRZ249" s="22"/>
      <c r="RSA249" s="22"/>
      <c r="RSB249" s="22"/>
      <c r="RSC249" s="22"/>
      <c r="RSD249" s="22"/>
      <c r="RSE249" s="22"/>
      <c r="RSF249" s="22"/>
      <c r="RSG249" s="22"/>
      <c r="RSH249" s="22"/>
      <c r="RSI249" s="22"/>
      <c r="RSJ249" s="22"/>
      <c r="RSK249" s="22"/>
      <c r="RSL249" s="22"/>
      <c r="RSM249" s="22"/>
      <c r="RSN249" s="22"/>
      <c r="RSO249" s="22"/>
      <c r="RSP249" s="22"/>
      <c r="RSQ249" s="22"/>
      <c r="RSR249" s="22"/>
      <c r="RSS249" s="22"/>
      <c r="RST249" s="22"/>
      <c r="RSU249" s="22"/>
      <c r="RSV249" s="22"/>
      <c r="RSW249" s="22"/>
      <c r="RSX249" s="22"/>
      <c r="RSY249" s="22"/>
      <c r="RSZ249" s="22"/>
      <c r="RTA249" s="22"/>
      <c r="RTB249" s="22"/>
      <c r="RTC249" s="22"/>
      <c r="RTD249" s="22"/>
      <c r="RTE249" s="22"/>
      <c r="RTF249" s="22"/>
      <c r="RTG249" s="22"/>
      <c r="RTH249" s="22"/>
      <c r="RTI249" s="22"/>
      <c r="RTJ249" s="22"/>
      <c r="RTK249" s="22"/>
      <c r="RTL249" s="22"/>
      <c r="RTM249" s="22"/>
      <c r="RTN249" s="22"/>
      <c r="RTO249" s="22"/>
      <c r="RTP249" s="22"/>
      <c r="RTQ249" s="22"/>
      <c r="RTR249" s="22"/>
      <c r="RTS249" s="22"/>
      <c r="RTT249" s="22"/>
      <c r="RTU249" s="22"/>
      <c r="RTV249" s="22"/>
      <c r="RTW249" s="22"/>
      <c r="RTX249" s="22"/>
      <c r="RTY249" s="22"/>
      <c r="RTZ249" s="22"/>
      <c r="RUA249" s="22"/>
      <c r="RUB249" s="22"/>
      <c r="RUC249" s="22"/>
      <c r="RUD249" s="22"/>
      <c r="RUE249" s="22"/>
      <c r="RUF249" s="22"/>
      <c r="RUG249" s="22"/>
      <c r="RUH249" s="22"/>
      <c r="RUI249" s="22"/>
      <c r="RUJ249" s="22"/>
      <c r="RUK249" s="22"/>
      <c r="RUL249" s="22"/>
      <c r="RUM249" s="22"/>
      <c r="RUN249" s="22"/>
      <c r="RUO249" s="22"/>
      <c r="RUP249" s="22"/>
      <c r="RUQ249" s="22"/>
      <c r="RUR249" s="22"/>
      <c r="RUS249" s="22"/>
      <c r="RUT249" s="22"/>
      <c r="RUU249" s="22"/>
      <c r="RUV249" s="22"/>
      <c r="RUW249" s="22"/>
      <c r="RUX249" s="22"/>
      <c r="RUY249" s="22"/>
      <c r="RUZ249" s="22"/>
      <c r="RVA249" s="22"/>
      <c r="RVB249" s="22"/>
      <c r="RVC249" s="22"/>
      <c r="RVD249" s="22"/>
      <c r="RVE249" s="22"/>
      <c r="RVF249" s="22"/>
      <c r="RVG249" s="22"/>
      <c r="RVH249" s="22"/>
      <c r="RVI249" s="22"/>
      <c r="RVJ249" s="22"/>
      <c r="RVK249" s="22"/>
      <c r="RVL249" s="22"/>
      <c r="RVM249" s="22"/>
      <c r="RVN249" s="22"/>
      <c r="RVO249" s="22"/>
      <c r="RVP249" s="22"/>
      <c r="RVQ249" s="22"/>
      <c r="RVR249" s="22"/>
      <c r="RVS249" s="22"/>
      <c r="RVT249" s="22"/>
      <c r="RVU249" s="22"/>
      <c r="RVV249" s="22"/>
      <c r="RVW249" s="22"/>
      <c r="RVX249" s="22"/>
      <c r="RVY249" s="22"/>
      <c r="RVZ249" s="22"/>
      <c r="RWA249" s="22"/>
      <c r="RWB249" s="22"/>
      <c r="RWC249" s="22"/>
      <c r="RWD249" s="22"/>
      <c r="RWE249" s="22"/>
      <c r="RWF249" s="22"/>
      <c r="RWG249" s="22"/>
      <c r="RWH249" s="22"/>
      <c r="RWI249" s="22"/>
      <c r="RWJ249" s="22"/>
      <c r="RWK249" s="22"/>
      <c r="RWL249" s="22"/>
      <c r="RWM249" s="22"/>
      <c r="RWN249" s="22"/>
      <c r="RWO249" s="22"/>
      <c r="RWP249" s="22"/>
      <c r="RWQ249" s="22"/>
      <c r="RWR249" s="22"/>
      <c r="RWS249" s="22"/>
      <c r="RWT249" s="22"/>
      <c r="RWU249" s="22"/>
      <c r="RWV249" s="22"/>
      <c r="RWW249" s="22"/>
      <c r="RWX249" s="22"/>
      <c r="RWY249" s="22"/>
      <c r="RWZ249" s="22"/>
      <c r="RXA249" s="22"/>
      <c r="RXB249" s="22"/>
      <c r="RXC249" s="22"/>
      <c r="RXD249" s="22"/>
      <c r="RXE249" s="22"/>
      <c r="RXF249" s="22"/>
      <c r="RXG249" s="22"/>
      <c r="RXH249" s="22"/>
      <c r="RXI249" s="22"/>
      <c r="RXJ249" s="22"/>
      <c r="RXK249" s="22"/>
      <c r="RXL249" s="22"/>
      <c r="RXM249" s="22"/>
      <c r="RXN249" s="22"/>
      <c r="RXO249" s="22"/>
      <c r="RXP249" s="22"/>
      <c r="RXQ249" s="22"/>
      <c r="RXR249" s="22"/>
      <c r="RXS249" s="22"/>
      <c r="RXT249" s="22"/>
      <c r="RXU249" s="22"/>
      <c r="RXV249" s="22"/>
      <c r="RXW249" s="22"/>
      <c r="RXX249" s="22"/>
      <c r="RXY249" s="22"/>
      <c r="RXZ249" s="22"/>
      <c r="RYA249" s="22"/>
      <c r="RYB249" s="22"/>
      <c r="RYC249" s="22"/>
      <c r="RYD249" s="22"/>
      <c r="RYE249" s="22"/>
      <c r="RYF249" s="22"/>
      <c r="RYG249" s="22"/>
      <c r="RYH249" s="22"/>
      <c r="RYI249" s="22"/>
      <c r="RYJ249" s="22"/>
      <c r="RYK249" s="22"/>
      <c r="RYL249" s="22"/>
      <c r="RYM249" s="22"/>
      <c r="RYN249" s="22"/>
      <c r="RYO249" s="22"/>
      <c r="RYP249" s="22"/>
      <c r="RYQ249" s="22"/>
      <c r="RYR249" s="22"/>
      <c r="RYS249" s="22"/>
      <c r="RYT249" s="22"/>
      <c r="RYU249" s="22"/>
      <c r="RYV249" s="22"/>
      <c r="RYW249" s="22"/>
      <c r="RYX249" s="22"/>
      <c r="RYY249" s="22"/>
      <c r="RYZ249" s="22"/>
      <c r="RZA249" s="22"/>
      <c r="RZB249" s="22"/>
      <c r="RZC249" s="22"/>
      <c r="RZD249" s="22"/>
      <c r="RZE249" s="22"/>
      <c r="RZF249" s="22"/>
      <c r="RZG249" s="22"/>
      <c r="RZH249" s="22"/>
      <c r="RZI249" s="22"/>
      <c r="RZJ249" s="22"/>
      <c r="RZK249" s="22"/>
      <c r="RZL249" s="22"/>
      <c r="RZM249" s="22"/>
      <c r="RZN249" s="22"/>
      <c r="RZO249" s="22"/>
      <c r="RZP249" s="22"/>
      <c r="RZQ249" s="22"/>
      <c r="RZR249" s="22"/>
      <c r="RZS249" s="22"/>
      <c r="RZT249" s="22"/>
      <c r="RZU249" s="22"/>
      <c r="RZV249" s="22"/>
      <c r="RZW249" s="22"/>
      <c r="RZX249" s="22"/>
      <c r="RZY249" s="22"/>
      <c r="RZZ249" s="22"/>
      <c r="SAA249" s="22"/>
      <c r="SAB249" s="22"/>
      <c r="SAC249" s="22"/>
      <c r="SAD249" s="22"/>
      <c r="SAE249" s="22"/>
      <c r="SAF249" s="22"/>
      <c r="SAG249" s="22"/>
      <c r="SAH249" s="22"/>
      <c r="SAI249" s="22"/>
      <c r="SAJ249" s="22"/>
      <c r="SAK249" s="22"/>
      <c r="SAL249" s="22"/>
      <c r="SAM249" s="22"/>
      <c r="SAN249" s="22"/>
      <c r="SAO249" s="22"/>
      <c r="SAP249" s="22"/>
      <c r="SAQ249" s="22"/>
      <c r="SAR249" s="22"/>
      <c r="SAS249" s="22"/>
      <c r="SAT249" s="22"/>
      <c r="SAU249" s="22"/>
      <c r="SAV249" s="22"/>
      <c r="SAW249" s="22"/>
      <c r="SAX249" s="22"/>
      <c r="SAY249" s="22"/>
      <c r="SAZ249" s="22"/>
      <c r="SBA249" s="22"/>
      <c r="SBB249" s="22"/>
      <c r="SBC249" s="22"/>
      <c r="SBD249" s="22"/>
      <c r="SBE249" s="22"/>
      <c r="SBF249" s="22"/>
      <c r="SBG249" s="22"/>
      <c r="SBH249" s="22"/>
      <c r="SBI249" s="22"/>
      <c r="SBJ249" s="22"/>
      <c r="SBK249" s="22"/>
      <c r="SBL249" s="22"/>
      <c r="SBM249" s="22"/>
      <c r="SBN249" s="22"/>
      <c r="SBO249" s="22"/>
      <c r="SBP249" s="22"/>
      <c r="SBQ249" s="22"/>
      <c r="SBR249" s="22"/>
      <c r="SBS249" s="22"/>
      <c r="SBT249" s="22"/>
      <c r="SBU249" s="22"/>
      <c r="SBV249" s="22"/>
      <c r="SBW249" s="22"/>
      <c r="SBX249" s="22"/>
      <c r="SBY249" s="22"/>
      <c r="SBZ249" s="22"/>
      <c r="SCA249" s="22"/>
      <c r="SCB249" s="22"/>
      <c r="SCC249" s="22"/>
      <c r="SCD249" s="22"/>
      <c r="SCE249" s="22"/>
      <c r="SCF249" s="22"/>
      <c r="SCG249" s="22"/>
      <c r="SCH249" s="22"/>
      <c r="SCI249" s="22"/>
      <c r="SCJ249" s="22"/>
      <c r="SCK249" s="22"/>
      <c r="SCL249" s="22"/>
      <c r="SCM249" s="22"/>
      <c r="SCN249" s="22"/>
      <c r="SCO249" s="22"/>
      <c r="SCP249" s="22"/>
      <c r="SCQ249" s="22"/>
      <c r="SCR249" s="22"/>
      <c r="SCS249" s="22"/>
      <c r="SCT249" s="22"/>
      <c r="SCU249" s="22"/>
      <c r="SCV249" s="22"/>
      <c r="SCW249" s="22"/>
      <c r="SCX249" s="22"/>
      <c r="SCY249" s="22"/>
      <c r="SCZ249" s="22"/>
      <c r="SDA249" s="22"/>
      <c r="SDB249" s="22"/>
      <c r="SDC249" s="22"/>
      <c r="SDD249" s="22"/>
      <c r="SDE249" s="22"/>
      <c r="SDF249" s="22"/>
      <c r="SDG249" s="22"/>
      <c r="SDH249" s="22"/>
      <c r="SDI249" s="22"/>
      <c r="SDJ249" s="22"/>
      <c r="SDK249" s="22"/>
      <c r="SDL249" s="22"/>
      <c r="SDM249" s="22"/>
      <c r="SDN249" s="22"/>
      <c r="SDO249" s="22"/>
      <c r="SDP249" s="22"/>
      <c r="SDQ249" s="22"/>
      <c r="SDR249" s="22"/>
      <c r="SDS249" s="22"/>
      <c r="SDT249" s="22"/>
      <c r="SDU249" s="22"/>
      <c r="SDV249" s="22"/>
      <c r="SDW249" s="22"/>
      <c r="SDX249" s="22"/>
      <c r="SDY249" s="22"/>
      <c r="SDZ249" s="22"/>
      <c r="SEA249" s="22"/>
      <c r="SEB249" s="22"/>
      <c r="SEC249" s="22"/>
      <c r="SED249" s="22"/>
      <c r="SEE249" s="22"/>
      <c r="SEF249" s="22"/>
      <c r="SEG249" s="22"/>
      <c r="SEH249" s="22"/>
      <c r="SEI249" s="22"/>
      <c r="SEJ249" s="22"/>
      <c r="SEK249" s="22"/>
      <c r="SEL249" s="22"/>
      <c r="SEM249" s="22"/>
      <c r="SEN249" s="22"/>
      <c r="SEO249" s="22"/>
      <c r="SEP249" s="22"/>
      <c r="SEQ249" s="22"/>
      <c r="SER249" s="22"/>
      <c r="SES249" s="22"/>
      <c r="SET249" s="22"/>
      <c r="SEU249" s="22"/>
      <c r="SEV249" s="22"/>
      <c r="SEW249" s="22"/>
      <c r="SEX249" s="22"/>
      <c r="SEY249" s="22"/>
      <c r="SEZ249" s="22"/>
      <c r="SFA249" s="22"/>
      <c r="SFB249" s="22"/>
      <c r="SFC249" s="22"/>
      <c r="SFD249" s="22"/>
      <c r="SFE249" s="22"/>
      <c r="SFF249" s="22"/>
      <c r="SFG249" s="22"/>
      <c r="SFH249" s="22"/>
      <c r="SFI249" s="22"/>
      <c r="SFJ249" s="22"/>
      <c r="SFK249" s="22"/>
      <c r="SFL249" s="22"/>
      <c r="SFM249" s="22"/>
      <c r="SFN249" s="22"/>
      <c r="SFO249" s="22"/>
      <c r="SFP249" s="22"/>
      <c r="SFQ249" s="22"/>
      <c r="SFR249" s="22"/>
      <c r="SFS249" s="22"/>
      <c r="SFT249" s="22"/>
      <c r="SFU249" s="22"/>
      <c r="SFV249" s="22"/>
      <c r="SFW249" s="22"/>
      <c r="SFX249" s="22"/>
      <c r="SFY249" s="22"/>
      <c r="SFZ249" s="22"/>
      <c r="SGA249" s="22"/>
      <c r="SGB249" s="22"/>
      <c r="SGC249" s="22"/>
      <c r="SGD249" s="22"/>
      <c r="SGE249" s="22"/>
      <c r="SGF249" s="22"/>
      <c r="SGG249" s="22"/>
      <c r="SGH249" s="22"/>
      <c r="SGI249" s="22"/>
      <c r="SGJ249" s="22"/>
      <c r="SGK249" s="22"/>
      <c r="SGL249" s="22"/>
      <c r="SGM249" s="22"/>
      <c r="SGN249" s="22"/>
      <c r="SGO249" s="22"/>
      <c r="SGP249" s="22"/>
      <c r="SGQ249" s="22"/>
      <c r="SGR249" s="22"/>
      <c r="SGS249" s="22"/>
      <c r="SGT249" s="22"/>
      <c r="SGU249" s="22"/>
      <c r="SGV249" s="22"/>
      <c r="SGW249" s="22"/>
      <c r="SGX249" s="22"/>
      <c r="SGY249" s="22"/>
      <c r="SGZ249" s="22"/>
      <c r="SHA249" s="22"/>
      <c r="SHB249" s="22"/>
      <c r="SHC249" s="22"/>
      <c r="SHD249" s="22"/>
      <c r="SHE249" s="22"/>
      <c r="SHF249" s="22"/>
      <c r="SHG249" s="22"/>
      <c r="SHH249" s="22"/>
      <c r="SHI249" s="22"/>
      <c r="SHJ249" s="22"/>
      <c r="SHK249" s="22"/>
      <c r="SHL249" s="22"/>
      <c r="SHM249" s="22"/>
      <c r="SHN249" s="22"/>
      <c r="SHO249" s="22"/>
      <c r="SHP249" s="22"/>
      <c r="SHQ249" s="22"/>
      <c r="SHR249" s="22"/>
      <c r="SHS249" s="22"/>
      <c r="SHT249" s="22"/>
      <c r="SHU249" s="22"/>
      <c r="SHV249" s="22"/>
      <c r="SHW249" s="22"/>
      <c r="SHX249" s="22"/>
      <c r="SHY249" s="22"/>
      <c r="SHZ249" s="22"/>
      <c r="SIA249" s="22"/>
      <c r="SIB249" s="22"/>
      <c r="SIC249" s="22"/>
      <c r="SID249" s="22"/>
      <c r="SIE249" s="22"/>
      <c r="SIF249" s="22"/>
      <c r="SIG249" s="22"/>
      <c r="SIH249" s="22"/>
      <c r="SII249" s="22"/>
      <c r="SIJ249" s="22"/>
      <c r="SIK249" s="22"/>
      <c r="SIL249" s="22"/>
      <c r="SIM249" s="22"/>
      <c r="SIN249" s="22"/>
      <c r="SIO249" s="22"/>
      <c r="SIP249" s="22"/>
      <c r="SIQ249" s="22"/>
      <c r="SIR249" s="22"/>
      <c r="SIS249" s="22"/>
      <c r="SIT249" s="22"/>
      <c r="SIU249" s="22"/>
      <c r="SIV249" s="22"/>
      <c r="SIW249" s="22"/>
      <c r="SIX249" s="22"/>
      <c r="SIY249" s="22"/>
      <c r="SIZ249" s="22"/>
      <c r="SJA249" s="22"/>
      <c r="SJB249" s="22"/>
      <c r="SJC249" s="22"/>
      <c r="SJD249" s="22"/>
      <c r="SJE249" s="22"/>
      <c r="SJF249" s="22"/>
      <c r="SJG249" s="22"/>
      <c r="SJH249" s="22"/>
      <c r="SJI249" s="22"/>
      <c r="SJJ249" s="22"/>
      <c r="SJK249" s="22"/>
      <c r="SJL249" s="22"/>
      <c r="SJM249" s="22"/>
      <c r="SJN249" s="22"/>
      <c r="SJO249" s="22"/>
      <c r="SJP249" s="22"/>
      <c r="SJQ249" s="22"/>
      <c r="SJR249" s="22"/>
      <c r="SJS249" s="22"/>
      <c r="SJT249" s="22"/>
      <c r="SJU249" s="22"/>
      <c r="SJV249" s="22"/>
      <c r="SJW249" s="22"/>
      <c r="SJX249" s="22"/>
      <c r="SJY249" s="22"/>
      <c r="SJZ249" s="22"/>
      <c r="SKA249" s="22"/>
      <c r="SKB249" s="22"/>
      <c r="SKC249" s="22"/>
      <c r="SKD249" s="22"/>
      <c r="SKE249" s="22"/>
      <c r="SKF249" s="22"/>
      <c r="SKG249" s="22"/>
      <c r="SKH249" s="22"/>
      <c r="SKI249" s="22"/>
      <c r="SKJ249" s="22"/>
      <c r="SKK249" s="22"/>
      <c r="SKL249" s="22"/>
      <c r="SKM249" s="22"/>
      <c r="SKN249" s="22"/>
      <c r="SKO249" s="22"/>
      <c r="SKP249" s="22"/>
      <c r="SKQ249" s="22"/>
      <c r="SKR249" s="22"/>
      <c r="SKS249" s="22"/>
      <c r="SKT249" s="22"/>
      <c r="SKU249" s="22"/>
      <c r="SKV249" s="22"/>
      <c r="SKW249" s="22"/>
      <c r="SKX249" s="22"/>
      <c r="SKY249" s="22"/>
      <c r="SKZ249" s="22"/>
      <c r="SLA249" s="22"/>
      <c r="SLB249" s="22"/>
      <c r="SLC249" s="22"/>
      <c r="SLD249" s="22"/>
      <c r="SLE249" s="22"/>
      <c r="SLF249" s="22"/>
      <c r="SLG249" s="22"/>
      <c r="SLH249" s="22"/>
      <c r="SLI249" s="22"/>
      <c r="SLJ249" s="22"/>
      <c r="SLK249" s="22"/>
      <c r="SLL249" s="22"/>
      <c r="SLM249" s="22"/>
      <c r="SLN249" s="22"/>
      <c r="SLO249" s="22"/>
      <c r="SLP249" s="22"/>
      <c r="SLQ249" s="22"/>
      <c r="SLR249" s="22"/>
      <c r="SLS249" s="22"/>
      <c r="SLT249" s="22"/>
      <c r="SLU249" s="22"/>
      <c r="SLV249" s="22"/>
      <c r="SLW249" s="22"/>
      <c r="SLX249" s="22"/>
      <c r="SLY249" s="22"/>
      <c r="SLZ249" s="22"/>
      <c r="SMA249" s="22"/>
      <c r="SMB249" s="22"/>
      <c r="SMC249" s="22"/>
      <c r="SMD249" s="22"/>
      <c r="SME249" s="22"/>
      <c r="SMF249" s="22"/>
      <c r="SMG249" s="22"/>
      <c r="SMH249" s="22"/>
      <c r="SMI249" s="22"/>
      <c r="SMJ249" s="22"/>
      <c r="SMK249" s="22"/>
      <c r="SML249" s="22"/>
      <c r="SMM249" s="22"/>
      <c r="SMN249" s="22"/>
      <c r="SMO249" s="22"/>
      <c r="SMP249" s="22"/>
      <c r="SMQ249" s="22"/>
      <c r="SMR249" s="22"/>
      <c r="SMS249" s="22"/>
      <c r="SMT249" s="22"/>
      <c r="SMU249" s="22"/>
      <c r="SMV249" s="22"/>
      <c r="SMW249" s="22"/>
      <c r="SMX249" s="22"/>
      <c r="SMY249" s="22"/>
      <c r="SMZ249" s="22"/>
      <c r="SNA249" s="22"/>
      <c r="SNB249" s="22"/>
      <c r="SNC249" s="22"/>
      <c r="SND249" s="22"/>
      <c r="SNE249" s="22"/>
      <c r="SNF249" s="22"/>
      <c r="SNG249" s="22"/>
      <c r="SNH249" s="22"/>
      <c r="SNI249" s="22"/>
      <c r="SNJ249" s="22"/>
      <c r="SNK249" s="22"/>
      <c r="SNL249" s="22"/>
      <c r="SNM249" s="22"/>
      <c r="SNN249" s="22"/>
      <c r="SNO249" s="22"/>
      <c r="SNP249" s="22"/>
      <c r="SNQ249" s="22"/>
      <c r="SNR249" s="22"/>
      <c r="SNS249" s="22"/>
      <c r="SNT249" s="22"/>
      <c r="SNU249" s="22"/>
      <c r="SNV249" s="22"/>
      <c r="SNW249" s="22"/>
      <c r="SNX249" s="22"/>
      <c r="SNY249" s="22"/>
      <c r="SNZ249" s="22"/>
      <c r="SOA249" s="22"/>
      <c r="SOB249" s="22"/>
      <c r="SOC249" s="22"/>
      <c r="SOD249" s="22"/>
      <c r="SOE249" s="22"/>
      <c r="SOF249" s="22"/>
      <c r="SOG249" s="22"/>
      <c r="SOH249" s="22"/>
      <c r="SOI249" s="22"/>
      <c r="SOJ249" s="22"/>
      <c r="SOK249" s="22"/>
      <c r="SOL249" s="22"/>
      <c r="SOM249" s="22"/>
      <c r="SON249" s="22"/>
      <c r="SOO249" s="22"/>
      <c r="SOP249" s="22"/>
      <c r="SOQ249" s="22"/>
      <c r="SOR249" s="22"/>
      <c r="SOS249" s="22"/>
      <c r="SOT249" s="22"/>
      <c r="SOU249" s="22"/>
      <c r="SOV249" s="22"/>
      <c r="SOW249" s="22"/>
      <c r="SOX249" s="22"/>
      <c r="SOY249" s="22"/>
      <c r="SOZ249" s="22"/>
      <c r="SPA249" s="22"/>
      <c r="SPB249" s="22"/>
      <c r="SPC249" s="22"/>
      <c r="SPD249" s="22"/>
      <c r="SPE249" s="22"/>
      <c r="SPF249" s="22"/>
      <c r="SPG249" s="22"/>
      <c r="SPH249" s="22"/>
      <c r="SPI249" s="22"/>
      <c r="SPJ249" s="22"/>
      <c r="SPK249" s="22"/>
      <c r="SPL249" s="22"/>
      <c r="SPM249" s="22"/>
      <c r="SPN249" s="22"/>
      <c r="SPO249" s="22"/>
      <c r="SPP249" s="22"/>
      <c r="SPQ249" s="22"/>
      <c r="SPR249" s="22"/>
      <c r="SPS249" s="22"/>
      <c r="SPT249" s="22"/>
      <c r="SPU249" s="22"/>
      <c r="SPV249" s="22"/>
      <c r="SPW249" s="22"/>
      <c r="SPX249" s="22"/>
      <c r="SPY249" s="22"/>
      <c r="SPZ249" s="22"/>
      <c r="SQA249" s="22"/>
      <c r="SQB249" s="22"/>
      <c r="SQC249" s="22"/>
      <c r="SQD249" s="22"/>
      <c r="SQE249" s="22"/>
      <c r="SQF249" s="22"/>
      <c r="SQG249" s="22"/>
      <c r="SQH249" s="22"/>
      <c r="SQI249" s="22"/>
      <c r="SQJ249" s="22"/>
      <c r="SQK249" s="22"/>
      <c r="SQL249" s="22"/>
      <c r="SQM249" s="22"/>
      <c r="SQN249" s="22"/>
      <c r="SQO249" s="22"/>
      <c r="SQP249" s="22"/>
      <c r="SQQ249" s="22"/>
      <c r="SQR249" s="22"/>
      <c r="SQS249" s="22"/>
      <c r="SQT249" s="22"/>
      <c r="SQU249" s="22"/>
      <c r="SQV249" s="22"/>
      <c r="SQW249" s="22"/>
      <c r="SQX249" s="22"/>
      <c r="SQY249" s="22"/>
      <c r="SQZ249" s="22"/>
      <c r="SRA249" s="22"/>
      <c r="SRB249" s="22"/>
      <c r="SRC249" s="22"/>
      <c r="SRD249" s="22"/>
      <c r="SRE249" s="22"/>
      <c r="SRF249" s="22"/>
      <c r="SRG249" s="22"/>
      <c r="SRH249" s="22"/>
      <c r="SRI249" s="22"/>
      <c r="SRJ249" s="22"/>
      <c r="SRK249" s="22"/>
      <c r="SRL249" s="22"/>
      <c r="SRM249" s="22"/>
      <c r="SRN249" s="22"/>
      <c r="SRO249" s="22"/>
      <c r="SRP249" s="22"/>
      <c r="SRQ249" s="22"/>
      <c r="SRR249" s="22"/>
      <c r="SRS249" s="22"/>
      <c r="SRT249" s="22"/>
      <c r="SRU249" s="22"/>
      <c r="SRV249" s="22"/>
      <c r="SRW249" s="22"/>
      <c r="SRX249" s="22"/>
      <c r="SRY249" s="22"/>
      <c r="SRZ249" s="22"/>
      <c r="SSA249" s="22"/>
      <c r="SSB249" s="22"/>
      <c r="SSC249" s="22"/>
      <c r="SSD249" s="22"/>
      <c r="SSE249" s="22"/>
      <c r="SSF249" s="22"/>
      <c r="SSG249" s="22"/>
      <c r="SSH249" s="22"/>
      <c r="SSI249" s="22"/>
      <c r="SSJ249" s="22"/>
      <c r="SSK249" s="22"/>
      <c r="SSL249" s="22"/>
      <c r="SSM249" s="22"/>
      <c r="SSN249" s="22"/>
      <c r="SSO249" s="22"/>
      <c r="SSP249" s="22"/>
      <c r="SSQ249" s="22"/>
      <c r="SSR249" s="22"/>
      <c r="SSS249" s="22"/>
      <c r="SST249" s="22"/>
      <c r="SSU249" s="22"/>
      <c r="SSV249" s="22"/>
      <c r="SSW249" s="22"/>
      <c r="SSX249" s="22"/>
      <c r="SSY249" s="22"/>
      <c r="SSZ249" s="22"/>
      <c r="STA249" s="22"/>
      <c r="STB249" s="22"/>
      <c r="STC249" s="22"/>
      <c r="STD249" s="22"/>
      <c r="STE249" s="22"/>
      <c r="STF249" s="22"/>
      <c r="STG249" s="22"/>
      <c r="STH249" s="22"/>
      <c r="STI249" s="22"/>
      <c r="STJ249" s="22"/>
      <c r="STK249" s="22"/>
      <c r="STL249" s="22"/>
      <c r="STM249" s="22"/>
      <c r="STN249" s="22"/>
      <c r="STO249" s="22"/>
      <c r="STP249" s="22"/>
      <c r="STQ249" s="22"/>
      <c r="STR249" s="22"/>
      <c r="STS249" s="22"/>
      <c r="STT249" s="22"/>
      <c r="STU249" s="22"/>
      <c r="STV249" s="22"/>
      <c r="STW249" s="22"/>
      <c r="STX249" s="22"/>
      <c r="STY249" s="22"/>
      <c r="STZ249" s="22"/>
      <c r="SUA249" s="22"/>
      <c r="SUB249" s="22"/>
      <c r="SUC249" s="22"/>
      <c r="SUD249" s="22"/>
      <c r="SUE249" s="22"/>
      <c r="SUF249" s="22"/>
      <c r="SUG249" s="22"/>
      <c r="SUH249" s="22"/>
      <c r="SUI249" s="22"/>
      <c r="SUJ249" s="22"/>
      <c r="SUK249" s="22"/>
      <c r="SUL249" s="22"/>
      <c r="SUM249" s="22"/>
      <c r="SUN249" s="22"/>
      <c r="SUO249" s="22"/>
      <c r="SUP249" s="22"/>
      <c r="SUQ249" s="22"/>
      <c r="SUR249" s="22"/>
      <c r="SUS249" s="22"/>
      <c r="SUT249" s="22"/>
      <c r="SUU249" s="22"/>
      <c r="SUV249" s="22"/>
      <c r="SUW249" s="22"/>
      <c r="SUX249" s="22"/>
      <c r="SUY249" s="22"/>
      <c r="SUZ249" s="22"/>
      <c r="SVA249" s="22"/>
      <c r="SVB249" s="22"/>
      <c r="SVC249" s="22"/>
      <c r="SVD249" s="22"/>
      <c r="SVE249" s="22"/>
      <c r="SVF249" s="22"/>
      <c r="SVG249" s="22"/>
      <c r="SVH249" s="22"/>
      <c r="SVI249" s="22"/>
      <c r="SVJ249" s="22"/>
      <c r="SVK249" s="22"/>
      <c r="SVL249" s="22"/>
      <c r="SVM249" s="22"/>
      <c r="SVN249" s="22"/>
      <c r="SVO249" s="22"/>
      <c r="SVP249" s="22"/>
      <c r="SVQ249" s="22"/>
      <c r="SVR249" s="22"/>
      <c r="SVS249" s="22"/>
      <c r="SVT249" s="22"/>
      <c r="SVU249" s="22"/>
      <c r="SVV249" s="22"/>
      <c r="SVW249" s="22"/>
      <c r="SVX249" s="22"/>
      <c r="SVY249" s="22"/>
      <c r="SVZ249" s="22"/>
      <c r="SWA249" s="22"/>
      <c r="SWB249" s="22"/>
      <c r="SWC249" s="22"/>
      <c r="SWD249" s="22"/>
      <c r="SWE249" s="22"/>
      <c r="SWF249" s="22"/>
      <c r="SWG249" s="22"/>
      <c r="SWH249" s="22"/>
      <c r="SWI249" s="22"/>
      <c r="SWJ249" s="22"/>
      <c r="SWK249" s="22"/>
      <c r="SWL249" s="22"/>
      <c r="SWM249" s="22"/>
      <c r="SWN249" s="22"/>
      <c r="SWO249" s="22"/>
      <c r="SWP249" s="22"/>
      <c r="SWQ249" s="22"/>
      <c r="SWR249" s="22"/>
      <c r="SWS249" s="22"/>
      <c r="SWT249" s="22"/>
      <c r="SWU249" s="22"/>
      <c r="SWV249" s="22"/>
      <c r="SWW249" s="22"/>
      <c r="SWX249" s="22"/>
      <c r="SWY249" s="22"/>
      <c r="SWZ249" s="22"/>
      <c r="SXA249" s="22"/>
      <c r="SXB249" s="22"/>
      <c r="SXC249" s="22"/>
      <c r="SXD249" s="22"/>
      <c r="SXE249" s="22"/>
      <c r="SXF249" s="22"/>
      <c r="SXG249" s="22"/>
      <c r="SXH249" s="22"/>
      <c r="SXI249" s="22"/>
      <c r="SXJ249" s="22"/>
      <c r="SXK249" s="22"/>
      <c r="SXL249" s="22"/>
      <c r="SXM249" s="22"/>
      <c r="SXN249" s="22"/>
      <c r="SXO249" s="22"/>
      <c r="SXP249" s="22"/>
      <c r="SXQ249" s="22"/>
      <c r="SXR249" s="22"/>
      <c r="SXS249" s="22"/>
      <c r="SXT249" s="22"/>
      <c r="SXU249" s="22"/>
      <c r="SXV249" s="22"/>
      <c r="SXW249" s="22"/>
      <c r="SXX249" s="22"/>
      <c r="SXY249" s="22"/>
      <c r="SXZ249" s="22"/>
      <c r="SYA249" s="22"/>
      <c r="SYB249" s="22"/>
      <c r="SYC249" s="22"/>
      <c r="SYD249" s="22"/>
      <c r="SYE249" s="22"/>
      <c r="SYF249" s="22"/>
      <c r="SYG249" s="22"/>
      <c r="SYH249" s="22"/>
      <c r="SYI249" s="22"/>
      <c r="SYJ249" s="22"/>
      <c r="SYK249" s="22"/>
      <c r="SYL249" s="22"/>
      <c r="SYM249" s="22"/>
      <c r="SYN249" s="22"/>
      <c r="SYO249" s="22"/>
      <c r="SYP249" s="22"/>
      <c r="SYQ249" s="22"/>
      <c r="SYR249" s="22"/>
      <c r="SYS249" s="22"/>
      <c r="SYT249" s="22"/>
      <c r="SYU249" s="22"/>
      <c r="SYV249" s="22"/>
      <c r="SYW249" s="22"/>
      <c r="SYX249" s="22"/>
      <c r="SYY249" s="22"/>
      <c r="SYZ249" s="22"/>
      <c r="SZA249" s="22"/>
      <c r="SZB249" s="22"/>
      <c r="SZC249" s="22"/>
      <c r="SZD249" s="22"/>
      <c r="SZE249" s="22"/>
      <c r="SZF249" s="22"/>
      <c r="SZG249" s="22"/>
      <c r="SZH249" s="22"/>
      <c r="SZI249" s="22"/>
      <c r="SZJ249" s="22"/>
      <c r="SZK249" s="22"/>
      <c r="SZL249" s="22"/>
      <c r="SZM249" s="22"/>
      <c r="SZN249" s="22"/>
      <c r="SZO249" s="22"/>
      <c r="SZP249" s="22"/>
      <c r="SZQ249" s="22"/>
      <c r="SZR249" s="22"/>
      <c r="SZS249" s="22"/>
      <c r="SZT249" s="22"/>
      <c r="SZU249" s="22"/>
      <c r="SZV249" s="22"/>
      <c r="SZW249" s="22"/>
      <c r="SZX249" s="22"/>
      <c r="SZY249" s="22"/>
      <c r="SZZ249" s="22"/>
      <c r="TAA249" s="22"/>
      <c r="TAB249" s="22"/>
      <c r="TAC249" s="22"/>
      <c r="TAD249" s="22"/>
      <c r="TAE249" s="22"/>
      <c r="TAF249" s="22"/>
      <c r="TAG249" s="22"/>
      <c r="TAH249" s="22"/>
      <c r="TAI249" s="22"/>
      <c r="TAJ249" s="22"/>
      <c r="TAK249" s="22"/>
      <c r="TAL249" s="22"/>
      <c r="TAM249" s="22"/>
      <c r="TAN249" s="22"/>
      <c r="TAO249" s="22"/>
      <c r="TAP249" s="22"/>
      <c r="TAQ249" s="22"/>
      <c r="TAR249" s="22"/>
      <c r="TAS249" s="22"/>
      <c r="TAT249" s="22"/>
      <c r="TAU249" s="22"/>
      <c r="TAV249" s="22"/>
      <c r="TAW249" s="22"/>
      <c r="TAX249" s="22"/>
      <c r="TAY249" s="22"/>
      <c r="TAZ249" s="22"/>
      <c r="TBA249" s="22"/>
      <c r="TBB249" s="22"/>
      <c r="TBC249" s="22"/>
      <c r="TBD249" s="22"/>
      <c r="TBE249" s="22"/>
      <c r="TBF249" s="22"/>
      <c r="TBG249" s="22"/>
      <c r="TBH249" s="22"/>
      <c r="TBI249" s="22"/>
      <c r="TBJ249" s="22"/>
      <c r="TBK249" s="22"/>
      <c r="TBL249" s="22"/>
      <c r="TBM249" s="22"/>
      <c r="TBN249" s="22"/>
      <c r="TBO249" s="22"/>
      <c r="TBP249" s="22"/>
      <c r="TBQ249" s="22"/>
      <c r="TBR249" s="22"/>
      <c r="TBS249" s="22"/>
      <c r="TBT249" s="22"/>
      <c r="TBU249" s="22"/>
      <c r="TBV249" s="22"/>
      <c r="TBW249" s="22"/>
      <c r="TBX249" s="22"/>
      <c r="TBY249" s="22"/>
      <c r="TBZ249" s="22"/>
      <c r="TCA249" s="22"/>
      <c r="TCB249" s="22"/>
      <c r="TCC249" s="22"/>
      <c r="TCD249" s="22"/>
      <c r="TCE249" s="22"/>
      <c r="TCF249" s="22"/>
      <c r="TCG249" s="22"/>
      <c r="TCH249" s="22"/>
      <c r="TCI249" s="22"/>
      <c r="TCJ249" s="22"/>
      <c r="TCK249" s="22"/>
      <c r="TCL249" s="22"/>
      <c r="TCM249" s="22"/>
      <c r="TCN249" s="22"/>
      <c r="TCO249" s="22"/>
      <c r="TCP249" s="22"/>
      <c r="TCQ249" s="22"/>
      <c r="TCR249" s="22"/>
      <c r="TCS249" s="22"/>
      <c r="TCT249" s="22"/>
      <c r="TCU249" s="22"/>
      <c r="TCV249" s="22"/>
      <c r="TCW249" s="22"/>
      <c r="TCX249" s="22"/>
      <c r="TCY249" s="22"/>
      <c r="TCZ249" s="22"/>
      <c r="TDA249" s="22"/>
      <c r="TDB249" s="22"/>
      <c r="TDC249" s="22"/>
      <c r="TDD249" s="22"/>
      <c r="TDE249" s="22"/>
      <c r="TDF249" s="22"/>
      <c r="TDG249" s="22"/>
      <c r="TDH249" s="22"/>
      <c r="TDI249" s="22"/>
      <c r="TDJ249" s="22"/>
      <c r="TDK249" s="22"/>
      <c r="TDL249" s="22"/>
      <c r="TDM249" s="22"/>
      <c r="TDN249" s="22"/>
      <c r="TDO249" s="22"/>
      <c r="TDP249" s="22"/>
      <c r="TDQ249" s="22"/>
      <c r="TDR249" s="22"/>
      <c r="TDS249" s="22"/>
      <c r="TDT249" s="22"/>
      <c r="TDU249" s="22"/>
      <c r="TDV249" s="22"/>
      <c r="TDW249" s="22"/>
      <c r="TDX249" s="22"/>
      <c r="TDY249" s="22"/>
      <c r="TDZ249" s="22"/>
      <c r="TEA249" s="22"/>
      <c r="TEB249" s="22"/>
      <c r="TEC249" s="22"/>
      <c r="TED249" s="22"/>
      <c r="TEE249" s="22"/>
      <c r="TEF249" s="22"/>
      <c r="TEG249" s="22"/>
      <c r="TEH249" s="22"/>
      <c r="TEI249" s="22"/>
      <c r="TEJ249" s="22"/>
      <c r="TEK249" s="22"/>
      <c r="TEL249" s="22"/>
      <c r="TEM249" s="22"/>
      <c r="TEN249" s="22"/>
      <c r="TEO249" s="22"/>
      <c r="TEP249" s="22"/>
      <c r="TEQ249" s="22"/>
      <c r="TER249" s="22"/>
      <c r="TES249" s="22"/>
      <c r="TET249" s="22"/>
      <c r="TEU249" s="22"/>
      <c r="TEV249" s="22"/>
      <c r="TEW249" s="22"/>
      <c r="TEX249" s="22"/>
      <c r="TEY249" s="22"/>
      <c r="TEZ249" s="22"/>
      <c r="TFA249" s="22"/>
      <c r="TFB249" s="22"/>
      <c r="TFC249" s="22"/>
      <c r="TFD249" s="22"/>
      <c r="TFE249" s="22"/>
      <c r="TFF249" s="22"/>
      <c r="TFG249" s="22"/>
      <c r="TFH249" s="22"/>
      <c r="TFI249" s="22"/>
      <c r="TFJ249" s="22"/>
      <c r="TFK249" s="22"/>
      <c r="TFL249" s="22"/>
      <c r="TFM249" s="22"/>
      <c r="TFN249" s="22"/>
      <c r="TFO249" s="22"/>
      <c r="TFP249" s="22"/>
      <c r="TFQ249" s="22"/>
      <c r="TFR249" s="22"/>
      <c r="TFS249" s="22"/>
      <c r="TFT249" s="22"/>
      <c r="TFU249" s="22"/>
      <c r="TFV249" s="22"/>
      <c r="TFW249" s="22"/>
      <c r="TFX249" s="22"/>
      <c r="TFY249" s="22"/>
      <c r="TFZ249" s="22"/>
      <c r="TGA249" s="22"/>
      <c r="TGB249" s="22"/>
      <c r="TGC249" s="22"/>
      <c r="TGD249" s="22"/>
      <c r="TGE249" s="22"/>
      <c r="TGF249" s="22"/>
      <c r="TGG249" s="22"/>
      <c r="TGH249" s="22"/>
      <c r="TGI249" s="22"/>
      <c r="TGJ249" s="22"/>
      <c r="TGK249" s="22"/>
      <c r="TGL249" s="22"/>
      <c r="TGM249" s="22"/>
      <c r="TGN249" s="22"/>
      <c r="TGO249" s="22"/>
      <c r="TGP249" s="22"/>
      <c r="TGQ249" s="22"/>
      <c r="TGR249" s="22"/>
      <c r="TGS249" s="22"/>
      <c r="TGT249" s="22"/>
      <c r="TGU249" s="22"/>
      <c r="TGV249" s="22"/>
      <c r="TGW249" s="22"/>
      <c r="TGX249" s="22"/>
      <c r="TGY249" s="22"/>
      <c r="TGZ249" s="22"/>
      <c r="THA249" s="22"/>
      <c r="THB249" s="22"/>
      <c r="THC249" s="22"/>
      <c r="THD249" s="22"/>
      <c r="THE249" s="22"/>
      <c r="THF249" s="22"/>
      <c r="THG249" s="22"/>
      <c r="THH249" s="22"/>
      <c r="THI249" s="22"/>
      <c r="THJ249" s="22"/>
      <c r="THK249" s="22"/>
      <c r="THL249" s="22"/>
      <c r="THM249" s="22"/>
      <c r="THN249" s="22"/>
      <c r="THO249" s="22"/>
      <c r="THP249" s="22"/>
      <c r="THQ249" s="22"/>
      <c r="THR249" s="22"/>
      <c r="THS249" s="22"/>
      <c r="THT249" s="22"/>
      <c r="THU249" s="22"/>
      <c r="THV249" s="22"/>
      <c r="THW249" s="22"/>
      <c r="THX249" s="22"/>
      <c r="THY249" s="22"/>
      <c r="THZ249" s="22"/>
      <c r="TIA249" s="22"/>
      <c r="TIB249" s="22"/>
      <c r="TIC249" s="22"/>
      <c r="TID249" s="22"/>
      <c r="TIE249" s="22"/>
      <c r="TIF249" s="22"/>
      <c r="TIG249" s="22"/>
      <c r="TIH249" s="22"/>
      <c r="TII249" s="22"/>
      <c r="TIJ249" s="22"/>
      <c r="TIK249" s="22"/>
      <c r="TIL249" s="22"/>
      <c r="TIM249" s="22"/>
      <c r="TIN249" s="22"/>
      <c r="TIO249" s="22"/>
      <c r="TIP249" s="22"/>
      <c r="TIQ249" s="22"/>
      <c r="TIR249" s="22"/>
      <c r="TIS249" s="22"/>
      <c r="TIT249" s="22"/>
      <c r="TIU249" s="22"/>
      <c r="TIV249" s="22"/>
      <c r="TIW249" s="22"/>
      <c r="TIX249" s="22"/>
      <c r="TIY249" s="22"/>
      <c r="TIZ249" s="22"/>
      <c r="TJA249" s="22"/>
      <c r="TJB249" s="22"/>
      <c r="TJC249" s="22"/>
      <c r="TJD249" s="22"/>
      <c r="TJE249" s="22"/>
      <c r="TJF249" s="22"/>
      <c r="TJG249" s="22"/>
      <c r="TJH249" s="22"/>
      <c r="TJI249" s="22"/>
      <c r="TJJ249" s="22"/>
      <c r="TJK249" s="22"/>
      <c r="TJL249" s="22"/>
      <c r="TJM249" s="22"/>
      <c r="TJN249" s="22"/>
      <c r="TJO249" s="22"/>
      <c r="TJP249" s="22"/>
      <c r="TJQ249" s="22"/>
      <c r="TJR249" s="22"/>
      <c r="TJS249" s="22"/>
      <c r="TJT249" s="22"/>
      <c r="TJU249" s="22"/>
      <c r="TJV249" s="22"/>
      <c r="TJW249" s="22"/>
      <c r="TJX249" s="22"/>
      <c r="TJY249" s="22"/>
      <c r="TJZ249" s="22"/>
      <c r="TKA249" s="22"/>
      <c r="TKB249" s="22"/>
      <c r="TKC249" s="22"/>
      <c r="TKD249" s="22"/>
      <c r="TKE249" s="22"/>
      <c r="TKF249" s="22"/>
      <c r="TKG249" s="22"/>
      <c r="TKH249" s="22"/>
      <c r="TKI249" s="22"/>
      <c r="TKJ249" s="22"/>
      <c r="TKK249" s="22"/>
      <c r="TKL249" s="22"/>
      <c r="TKM249" s="22"/>
      <c r="TKN249" s="22"/>
      <c r="TKO249" s="22"/>
      <c r="TKP249" s="22"/>
      <c r="TKQ249" s="22"/>
      <c r="TKR249" s="22"/>
      <c r="TKS249" s="22"/>
      <c r="TKT249" s="22"/>
      <c r="TKU249" s="22"/>
      <c r="TKV249" s="22"/>
      <c r="TKW249" s="22"/>
      <c r="TKX249" s="22"/>
      <c r="TKY249" s="22"/>
      <c r="TKZ249" s="22"/>
      <c r="TLA249" s="22"/>
      <c r="TLB249" s="22"/>
      <c r="TLC249" s="22"/>
      <c r="TLD249" s="22"/>
      <c r="TLE249" s="22"/>
      <c r="TLF249" s="22"/>
      <c r="TLG249" s="22"/>
      <c r="TLH249" s="22"/>
      <c r="TLI249" s="22"/>
      <c r="TLJ249" s="22"/>
      <c r="TLK249" s="22"/>
      <c r="TLL249" s="22"/>
      <c r="TLM249" s="22"/>
      <c r="TLN249" s="22"/>
      <c r="TLO249" s="22"/>
      <c r="TLP249" s="22"/>
      <c r="TLQ249" s="22"/>
      <c r="TLR249" s="22"/>
      <c r="TLS249" s="22"/>
      <c r="TLT249" s="22"/>
      <c r="TLU249" s="22"/>
      <c r="TLV249" s="22"/>
      <c r="TLW249" s="22"/>
      <c r="TLX249" s="22"/>
      <c r="TLY249" s="22"/>
      <c r="TLZ249" s="22"/>
      <c r="TMA249" s="22"/>
      <c r="TMB249" s="22"/>
      <c r="TMC249" s="22"/>
      <c r="TMD249" s="22"/>
      <c r="TME249" s="22"/>
      <c r="TMF249" s="22"/>
      <c r="TMG249" s="22"/>
      <c r="TMH249" s="22"/>
      <c r="TMI249" s="22"/>
      <c r="TMJ249" s="22"/>
      <c r="TMK249" s="22"/>
      <c r="TML249" s="22"/>
      <c r="TMM249" s="22"/>
      <c r="TMN249" s="22"/>
      <c r="TMO249" s="22"/>
      <c r="TMP249" s="22"/>
      <c r="TMQ249" s="22"/>
      <c r="TMR249" s="22"/>
      <c r="TMS249" s="22"/>
      <c r="TMT249" s="22"/>
      <c r="TMU249" s="22"/>
      <c r="TMV249" s="22"/>
      <c r="TMW249" s="22"/>
      <c r="TMX249" s="22"/>
      <c r="TMY249" s="22"/>
      <c r="TMZ249" s="22"/>
      <c r="TNA249" s="22"/>
      <c r="TNB249" s="22"/>
      <c r="TNC249" s="22"/>
      <c r="TND249" s="22"/>
      <c r="TNE249" s="22"/>
      <c r="TNF249" s="22"/>
      <c r="TNG249" s="22"/>
      <c r="TNH249" s="22"/>
      <c r="TNI249" s="22"/>
      <c r="TNJ249" s="22"/>
      <c r="TNK249" s="22"/>
      <c r="TNL249" s="22"/>
      <c r="TNM249" s="22"/>
      <c r="TNN249" s="22"/>
      <c r="TNO249" s="22"/>
      <c r="TNP249" s="22"/>
      <c r="TNQ249" s="22"/>
      <c r="TNR249" s="22"/>
      <c r="TNS249" s="22"/>
      <c r="TNT249" s="22"/>
      <c r="TNU249" s="22"/>
      <c r="TNV249" s="22"/>
      <c r="TNW249" s="22"/>
      <c r="TNX249" s="22"/>
      <c r="TNY249" s="22"/>
      <c r="TNZ249" s="22"/>
      <c r="TOA249" s="22"/>
      <c r="TOB249" s="22"/>
      <c r="TOC249" s="22"/>
      <c r="TOD249" s="22"/>
      <c r="TOE249" s="22"/>
      <c r="TOF249" s="22"/>
      <c r="TOG249" s="22"/>
      <c r="TOH249" s="22"/>
      <c r="TOI249" s="22"/>
      <c r="TOJ249" s="22"/>
      <c r="TOK249" s="22"/>
      <c r="TOL249" s="22"/>
      <c r="TOM249" s="22"/>
      <c r="TON249" s="22"/>
      <c r="TOO249" s="22"/>
      <c r="TOP249" s="22"/>
      <c r="TOQ249" s="22"/>
      <c r="TOR249" s="22"/>
      <c r="TOS249" s="22"/>
      <c r="TOT249" s="22"/>
      <c r="TOU249" s="22"/>
      <c r="TOV249" s="22"/>
      <c r="TOW249" s="22"/>
      <c r="TOX249" s="22"/>
      <c r="TOY249" s="22"/>
      <c r="TOZ249" s="22"/>
      <c r="TPA249" s="22"/>
      <c r="TPB249" s="22"/>
      <c r="TPC249" s="22"/>
      <c r="TPD249" s="22"/>
      <c r="TPE249" s="22"/>
      <c r="TPF249" s="22"/>
      <c r="TPG249" s="22"/>
      <c r="TPH249" s="22"/>
      <c r="TPI249" s="22"/>
      <c r="TPJ249" s="22"/>
      <c r="TPK249" s="22"/>
      <c r="TPL249" s="22"/>
      <c r="TPM249" s="22"/>
      <c r="TPN249" s="22"/>
      <c r="TPO249" s="22"/>
      <c r="TPP249" s="22"/>
      <c r="TPQ249" s="22"/>
      <c r="TPR249" s="22"/>
      <c r="TPS249" s="22"/>
      <c r="TPT249" s="22"/>
      <c r="TPU249" s="22"/>
      <c r="TPV249" s="22"/>
      <c r="TPW249" s="22"/>
      <c r="TPX249" s="22"/>
      <c r="TPY249" s="22"/>
      <c r="TPZ249" s="22"/>
      <c r="TQA249" s="22"/>
      <c r="TQB249" s="22"/>
      <c r="TQC249" s="22"/>
      <c r="TQD249" s="22"/>
      <c r="TQE249" s="22"/>
      <c r="TQF249" s="22"/>
      <c r="TQG249" s="22"/>
      <c r="TQH249" s="22"/>
      <c r="TQI249" s="22"/>
      <c r="TQJ249" s="22"/>
      <c r="TQK249" s="22"/>
      <c r="TQL249" s="22"/>
      <c r="TQM249" s="22"/>
      <c r="TQN249" s="22"/>
      <c r="TQO249" s="22"/>
      <c r="TQP249" s="22"/>
      <c r="TQQ249" s="22"/>
      <c r="TQR249" s="22"/>
      <c r="TQS249" s="22"/>
      <c r="TQT249" s="22"/>
      <c r="TQU249" s="22"/>
      <c r="TQV249" s="22"/>
      <c r="TQW249" s="22"/>
      <c r="TQX249" s="22"/>
      <c r="TQY249" s="22"/>
      <c r="TQZ249" s="22"/>
      <c r="TRA249" s="22"/>
      <c r="TRB249" s="22"/>
      <c r="TRC249" s="22"/>
      <c r="TRD249" s="22"/>
      <c r="TRE249" s="22"/>
      <c r="TRF249" s="22"/>
      <c r="TRG249" s="22"/>
      <c r="TRH249" s="22"/>
      <c r="TRI249" s="22"/>
      <c r="TRJ249" s="22"/>
      <c r="TRK249" s="22"/>
      <c r="TRL249" s="22"/>
      <c r="TRM249" s="22"/>
      <c r="TRN249" s="22"/>
      <c r="TRO249" s="22"/>
      <c r="TRP249" s="22"/>
      <c r="TRQ249" s="22"/>
      <c r="TRR249" s="22"/>
      <c r="TRS249" s="22"/>
      <c r="TRT249" s="22"/>
      <c r="TRU249" s="22"/>
      <c r="TRV249" s="22"/>
      <c r="TRW249" s="22"/>
      <c r="TRX249" s="22"/>
      <c r="TRY249" s="22"/>
      <c r="TRZ249" s="22"/>
      <c r="TSA249" s="22"/>
      <c r="TSB249" s="22"/>
      <c r="TSC249" s="22"/>
      <c r="TSD249" s="22"/>
      <c r="TSE249" s="22"/>
      <c r="TSF249" s="22"/>
      <c r="TSG249" s="22"/>
      <c r="TSH249" s="22"/>
      <c r="TSI249" s="22"/>
      <c r="TSJ249" s="22"/>
      <c r="TSK249" s="22"/>
      <c r="TSL249" s="22"/>
      <c r="TSM249" s="22"/>
      <c r="TSN249" s="22"/>
      <c r="TSO249" s="22"/>
      <c r="TSP249" s="22"/>
      <c r="TSQ249" s="22"/>
      <c r="TSR249" s="22"/>
      <c r="TSS249" s="22"/>
      <c r="TST249" s="22"/>
      <c r="TSU249" s="22"/>
      <c r="TSV249" s="22"/>
      <c r="TSW249" s="22"/>
      <c r="TSX249" s="22"/>
      <c r="TSY249" s="22"/>
      <c r="TSZ249" s="22"/>
      <c r="TTA249" s="22"/>
      <c r="TTB249" s="22"/>
      <c r="TTC249" s="22"/>
      <c r="TTD249" s="22"/>
      <c r="TTE249" s="22"/>
      <c r="TTF249" s="22"/>
      <c r="TTG249" s="22"/>
      <c r="TTH249" s="22"/>
      <c r="TTI249" s="22"/>
      <c r="TTJ249" s="22"/>
      <c r="TTK249" s="22"/>
      <c r="TTL249" s="22"/>
      <c r="TTM249" s="22"/>
      <c r="TTN249" s="22"/>
      <c r="TTO249" s="22"/>
      <c r="TTP249" s="22"/>
      <c r="TTQ249" s="22"/>
      <c r="TTR249" s="22"/>
      <c r="TTS249" s="22"/>
      <c r="TTT249" s="22"/>
      <c r="TTU249" s="22"/>
      <c r="TTV249" s="22"/>
      <c r="TTW249" s="22"/>
      <c r="TTX249" s="22"/>
      <c r="TTY249" s="22"/>
      <c r="TTZ249" s="22"/>
      <c r="TUA249" s="22"/>
      <c r="TUB249" s="22"/>
      <c r="TUC249" s="22"/>
      <c r="TUD249" s="22"/>
      <c r="TUE249" s="22"/>
      <c r="TUF249" s="22"/>
      <c r="TUG249" s="22"/>
      <c r="TUH249" s="22"/>
      <c r="TUI249" s="22"/>
      <c r="TUJ249" s="22"/>
      <c r="TUK249" s="22"/>
      <c r="TUL249" s="22"/>
      <c r="TUM249" s="22"/>
      <c r="TUN249" s="22"/>
      <c r="TUO249" s="22"/>
      <c r="TUP249" s="22"/>
      <c r="TUQ249" s="22"/>
      <c r="TUR249" s="22"/>
      <c r="TUS249" s="22"/>
      <c r="TUT249" s="22"/>
      <c r="TUU249" s="22"/>
      <c r="TUV249" s="22"/>
      <c r="TUW249" s="22"/>
      <c r="TUX249" s="22"/>
      <c r="TUY249" s="22"/>
      <c r="TUZ249" s="22"/>
      <c r="TVA249" s="22"/>
      <c r="TVB249" s="22"/>
      <c r="TVC249" s="22"/>
      <c r="TVD249" s="22"/>
      <c r="TVE249" s="22"/>
      <c r="TVF249" s="22"/>
      <c r="TVG249" s="22"/>
      <c r="TVH249" s="22"/>
      <c r="TVI249" s="22"/>
      <c r="TVJ249" s="22"/>
      <c r="TVK249" s="22"/>
      <c r="TVL249" s="22"/>
      <c r="TVM249" s="22"/>
      <c r="TVN249" s="22"/>
      <c r="TVO249" s="22"/>
      <c r="TVP249" s="22"/>
      <c r="TVQ249" s="22"/>
      <c r="TVR249" s="22"/>
      <c r="TVS249" s="22"/>
      <c r="TVT249" s="22"/>
      <c r="TVU249" s="22"/>
      <c r="TVV249" s="22"/>
      <c r="TVW249" s="22"/>
      <c r="TVX249" s="22"/>
      <c r="TVY249" s="22"/>
      <c r="TVZ249" s="22"/>
      <c r="TWA249" s="22"/>
      <c r="TWB249" s="22"/>
      <c r="TWC249" s="22"/>
      <c r="TWD249" s="22"/>
      <c r="TWE249" s="22"/>
      <c r="TWF249" s="22"/>
      <c r="TWG249" s="22"/>
      <c r="TWH249" s="22"/>
      <c r="TWI249" s="22"/>
      <c r="TWJ249" s="22"/>
      <c r="TWK249" s="22"/>
      <c r="TWL249" s="22"/>
      <c r="TWM249" s="22"/>
      <c r="TWN249" s="22"/>
      <c r="TWO249" s="22"/>
      <c r="TWP249" s="22"/>
      <c r="TWQ249" s="22"/>
      <c r="TWR249" s="22"/>
      <c r="TWS249" s="22"/>
      <c r="TWT249" s="22"/>
      <c r="TWU249" s="22"/>
      <c r="TWV249" s="22"/>
      <c r="TWW249" s="22"/>
      <c r="TWX249" s="22"/>
      <c r="TWY249" s="22"/>
      <c r="TWZ249" s="22"/>
      <c r="TXA249" s="22"/>
      <c r="TXB249" s="22"/>
      <c r="TXC249" s="22"/>
      <c r="TXD249" s="22"/>
      <c r="TXE249" s="22"/>
      <c r="TXF249" s="22"/>
      <c r="TXG249" s="22"/>
      <c r="TXH249" s="22"/>
      <c r="TXI249" s="22"/>
      <c r="TXJ249" s="22"/>
      <c r="TXK249" s="22"/>
      <c r="TXL249" s="22"/>
      <c r="TXM249" s="22"/>
      <c r="TXN249" s="22"/>
      <c r="TXO249" s="22"/>
      <c r="TXP249" s="22"/>
      <c r="TXQ249" s="22"/>
      <c r="TXR249" s="22"/>
      <c r="TXS249" s="22"/>
      <c r="TXT249" s="22"/>
      <c r="TXU249" s="22"/>
      <c r="TXV249" s="22"/>
      <c r="TXW249" s="22"/>
      <c r="TXX249" s="22"/>
      <c r="TXY249" s="22"/>
      <c r="TXZ249" s="22"/>
      <c r="TYA249" s="22"/>
      <c r="TYB249" s="22"/>
      <c r="TYC249" s="22"/>
      <c r="TYD249" s="22"/>
      <c r="TYE249" s="22"/>
      <c r="TYF249" s="22"/>
      <c r="TYG249" s="22"/>
      <c r="TYH249" s="22"/>
      <c r="TYI249" s="22"/>
      <c r="TYJ249" s="22"/>
      <c r="TYK249" s="22"/>
      <c r="TYL249" s="22"/>
      <c r="TYM249" s="22"/>
      <c r="TYN249" s="22"/>
      <c r="TYO249" s="22"/>
      <c r="TYP249" s="22"/>
      <c r="TYQ249" s="22"/>
      <c r="TYR249" s="22"/>
      <c r="TYS249" s="22"/>
      <c r="TYT249" s="22"/>
      <c r="TYU249" s="22"/>
      <c r="TYV249" s="22"/>
      <c r="TYW249" s="22"/>
      <c r="TYX249" s="22"/>
      <c r="TYY249" s="22"/>
      <c r="TYZ249" s="22"/>
      <c r="TZA249" s="22"/>
      <c r="TZB249" s="22"/>
      <c r="TZC249" s="22"/>
      <c r="TZD249" s="22"/>
      <c r="TZE249" s="22"/>
      <c r="TZF249" s="22"/>
      <c r="TZG249" s="22"/>
      <c r="TZH249" s="22"/>
      <c r="TZI249" s="22"/>
      <c r="TZJ249" s="22"/>
      <c r="TZK249" s="22"/>
      <c r="TZL249" s="22"/>
      <c r="TZM249" s="22"/>
      <c r="TZN249" s="22"/>
      <c r="TZO249" s="22"/>
      <c r="TZP249" s="22"/>
      <c r="TZQ249" s="22"/>
      <c r="TZR249" s="22"/>
      <c r="TZS249" s="22"/>
      <c r="TZT249" s="22"/>
      <c r="TZU249" s="22"/>
      <c r="TZV249" s="22"/>
      <c r="TZW249" s="22"/>
      <c r="TZX249" s="22"/>
      <c r="TZY249" s="22"/>
      <c r="TZZ249" s="22"/>
      <c r="UAA249" s="22"/>
      <c r="UAB249" s="22"/>
      <c r="UAC249" s="22"/>
      <c r="UAD249" s="22"/>
      <c r="UAE249" s="22"/>
      <c r="UAF249" s="22"/>
      <c r="UAG249" s="22"/>
      <c r="UAH249" s="22"/>
      <c r="UAI249" s="22"/>
      <c r="UAJ249" s="22"/>
      <c r="UAK249" s="22"/>
      <c r="UAL249" s="22"/>
      <c r="UAM249" s="22"/>
      <c r="UAN249" s="22"/>
      <c r="UAO249" s="22"/>
      <c r="UAP249" s="22"/>
      <c r="UAQ249" s="22"/>
      <c r="UAR249" s="22"/>
      <c r="UAS249" s="22"/>
      <c r="UAT249" s="22"/>
      <c r="UAU249" s="22"/>
      <c r="UAV249" s="22"/>
      <c r="UAW249" s="22"/>
      <c r="UAX249" s="22"/>
      <c r="UAY249" s="22"/>
      <c r="UAZ249" s="22"/>
      <c r="UBA249" s="22"/>
      <c r="UBB249" s="22"/>
      <c r="UBC249" s="22"/>
      <c r="UBD249" s="22"/>
      <c r="UBE249" s="22"/>
      <c r="UBF249" s="22"/>
      <c r="UBG249" s="22"/>
      <c r="UBH249" s="22"/>
      <c r="UBI249" s="22"/>
      <c r="UBJ249" s="22"/>
      <c r="UBK249" s="22"/>
      <c r="UBL249" s="22"/>
      <c r="UBM249" s="22"/>
      <c r="UBN249" s="22"/>
      <c r="UBO249" s="22"/>
      <c r="UBP249" s="22"/>
      <c r="UBQ249" s="22"/>
      <c r="UBR249" s="22"/>
      <c r="UBS249" s="22"/>
      <c r="UBT249" s="22"/>
      <c r="UBU249" s="22"/>
      <c r="UBV249" s="22"/>
      <c r="UBW249" s="22"/>
      <c r="UBX249" s="22"/>
      <c r="UBY249" s="22"/>
      <c r="UBZ249" s="22"/>
      <c r="UCA249" s="22"/>
      <c r="UCB249" s="22"/>
      <c r="UCC249" s="22"/>
      <c r="UCD249" s="22"/>
      <c r="UCE249" s="22"/>
      <c r="UCF249" s="22"/>
      <c r="UCG249" s="22"/>
      <c r="UCH249" s="22"/>
      <c r="UCI249" s="22"/>
      <c r="UCJ249" s="22"/>
      <c r="UCK249" s="22"/>
      <c r="UCL249" s="22"/>
      <c r="UCM249" s="22"/>
      <c r="UCN249" s="22"/>
      <c r="UCO249" s="22"/>
      <c r="UCP249" s="22"/>
      <c r="UCQ249" s="22"/>
      <c r="UCR249" s="22"/>
      <c r="UCS249" s="22"/>
      <c r="UCT249" s="22"/>
      <c r="UCU249" s="22"/>
      <c r="UCV249" s="22"/>
      <c r="UCW249" s="22"/>
      <c r="UCX249" s="22"/>
      <c r="UCY249" s="22"/>
      <c r="UCZ249" s="22"/>
      <c r="UDA249" s="22"/>
      <c r="UDB249" s="22"/>
      <c r="UDC249" s="22"/>
      <c r="UDD249" s="22"/>
      <c r="UDE249" s="22"/>
      <c r="UDF249" s="22"/>
      <c r="UDG249" s="22"/>
      <c r="UDH249" s="22"/>
      <c r="UDI249" s="22"/>
      <c r="UDJ249" s="22"/>
      <c r="UDK249" s="22"/>
      <c r="UDL249" s="22"/>
      <c r="UDM249" s="22"/>
      <c r="UDN249" s="22"/>
      <c r="UDO249" s="22"/>
      <c r="UDP249" s="22"/>
      <c r="UDQ249" s="22"/>
      <c r="UDR249" s="22"/>
      <c r="UDS249" s="22"/>
      <c r="UDT249" s="22"/>
      <c r="UDU249" s="22"/>
      <c r="UDV249" s="22"/>
      <c r="UDW249" s="22"/>
      <c r="UDX249" s="22"/>
      <c r="UDY249" s="22"/>
      <c r="UDZ249" s="22"/>
      <c r="UEA249" s="22"/>
      <c r="UEB249" s="22"/>
      <c r="UEC249" s="22"/>
      <c r="UED249" s="22"/>
      <c r="UEE249" s="22"/>
      <c r="UEF249" s="22"/>
      <c r="UEG249" s="22"/>
      <c r="UEH249" s="22"/>
      <c r="UEI249" s="22"/>
      <c r="UEJ249" s="22"/>
      <c r="UEK249" s="22"/>
      <c r="UEL249" s="22"/>
      <c r="UEM249" s="22"/>
      <c r="UEN249" s="22"/>
      <c r="UEO249" s="22"/>
      <c r="UEP249" s="22"/>
      <c r="UEQ249" s="22"/>
      <c r="UER249" s="22"/>
      <c r="UES249" s="22"/>
      <c r="UET249" s="22"/>
      <c r="UEU249" s="22"/>
      <c r="UEV249" s="22"/>
      <c r="UEW249" s="22"/>
      <c r="UEX249" s="22"/>
      <c r="UEY249" s="22"/>
      <c r="UEZ249" s="22"/>
      <c r="UFA249" s="22"/>
      <c r="UFB249" s="22"/>
      <c r="UFC249" s="22"/>
      <c r="UFD249" s="22"/>
      <c r="UFE249" s="22"/>
      <c r="UFF249" s="22"/>
      <c r="UFG249" s="22"/>
      <c r="UFH249" s="22"/>
      <c r="UFI249" s="22"/>
      <c r="UFJ249" s="22"/>
      <c r="UFK249" s="22"/>
      <c r="UFL249" s="22"/>
      <c r="UFM249" s="22"/>
      <c r="UFN249" s="22"/>
      <c r="UFO249" s="22"/>
      <c r="UFP249" s="22"/>
      <c r="UFQ249" s="22"/>
      <c r="UFR249" s="22"/>
      <c r="UFS249" s="22"/>
      <c r="UFT249" s="22"/>
      <c r="UFU249" s="22"/>
      <c r="UFV249" s="22"/>
      <c r="UFW249" s="22"/>
      <c r="UFX249" s="22"/>
      <c r="UFY249" s="22"/>
      <c r="UFZ249" s="22"/>
      <c r="UGA249" s="22"/>
      <c r="UGB249" s="22"/>
      <c r="UGC249" s="22"/>
      <c r="UGD249" s="22"/>
      <c r="UGE249" s="22"/>
      <c r="UGF249" s="22"/>
      <c r="UGG249" s="22"/>
      <c r="UGH249" s="22"/>
      <c r="UGI249" s="22"/>
      <c r="UGJ249" s="22"/>
      <c r="UGK249" s="22"/>
      <c r="UGL249" s="22"/>
      <c r="UGM249" s="22"/>
      <c r="UGN249" s="22"/>
      <c r="UGO249" s="22"/>
      <c r="UGP249" s="22"/>
      <c r="UGQ249" s="22"/>
      <c r="UGR249" s="22"/>
      <c r="UGS249" s="22"/>
      <c r="UGT249" s="22"/>
      <c r="UGU249" s="22"/>
      <c r="UGV249" s="22"/>
      <c r="UGW249" s="22"/>
      <c r="UGX249" s="22"/>
      <c r="UGY249" s="22"/>
      <c r="UGZ249" s="22"/>
      <c r="UHA249" s="22"/>
      <c r="UHB249" s="22"/>
      <c r="UHC249" s="22"/>
      <c r="UHD249" s="22"/>
      <c r="UHE249" s="22"/>
      <c r="UHF249" s="22"/>
      <c r="UHG249" s="22"/>
      <c r="UHH249" s="22"/>
      <c r="UHI249" s="22"/>
      <c r="UHJ249" s="22"/>
      <c r="UHK249" s="22"/>
      <c r="UHL249" s="22"/>
      <c r="UHM249" s="22"/>
      <c r="UHN249" s="22"/>
      <c r="UHO249" s="22"/>
      <c r="UHP249" s="22"/>
      <c r="UHQ249" s="22"/>
      <c r="UHR249" s="22"/>
      <c r="UHS249" s="22"/>
      <c r="UHT249" s="22"/>
      <c r="UHU249" s="22"/>
      <c r="UHV249" s="22"/>
      <c r="UHW249" s="22"/>
      <c r="UHX249" s="22"/>
      <c r="UHY249" s="22"/>
      <c r="UHZ249" s="22"/>
      <c r="UIA249" s="22"/>
      <c r="UIB249" s="22"/>
      <c r="UIC249" s="22"/>
      <c r="UID249" s="22"/>
      <c r="UIE249" s="22"/>
      <c r="UIF249" s="22"/>
      <c r="UIG249" s="22"/>
      <c r="UIH249" s="22"/>
      <c r="UII249" s="22"/>
      <c r="UIJ249" s="22"/>
      <c r="UIK249" s="22"/>
      <c r="UIL249" s="22"/>
      <c r="UIM249" s="22"/>
      <c r="UIN249" s="22"/>
      <c r="UIO249" s="22"/>
      <c r="UIP249" s="22"/>
      <c r="UIQ249" s="22"/>
      <c r="UIR249" s="22"/>
      <c r="UIS249" s="22"/>
      <c r="UIT249" s="22"/>
      <c r="UIU249" s="22"/>
      <c r="UIV249" s="22"/>
      <c r="UIW249" s="22"/>
      <c r="UIX249" s="22"/>
      <c r="UIY249" s="22"/>
      <c r="UIZ249" s="22"/>
      <c r="UJA249" s="22"/>
      <c r="UJB249" s="22"/>
      <c r="UJC249" s="22"/>
      <c r="UJD249" s="22"/>
      <c r="UJE249" s="22"/>
      <c r="UJF249" s="22"/>
      <c r="UJG249" s="22"/>
      <c r="UJH249" s="22"/>
      <c r="UJI249" s="22"/>
      <c r="UJJ249" s="22"/>
      <c r="UJK249" s="22"/>
      <c r="UJL249" s="22"/>
      <c r="UJM249" s="22"/>
      <c r="UJN249" s="22"/>
      <c r="UJO249" s="22"/>
      <c r="UJP249" s="22"/>
      <c r="UJQ249" s="22"/>
      <c r="UJR249" s="22"/>
      <c r="UJS249" s="22"/>
      <c r="UJT249" s="22"/>
      <c r="UJU249" s="22"/>
      <c r="UJV249" s="22"/>
      <c r="UJW249" s="22"/>
      <c r="UJX249" s="22"/>
      <c r="UJY249" s="22"/>
      <c r="UJZ249" s="22"/>
      <c r="UKA249" s="22"/>
      <c r="UKB249" s="22"/>
      <c r="UKC249" s="22"/>
      <c r="UKD249" s="22"/>
      <c r="UKE249" s="22"/>
      <c r="UKF249" s="22"/>
      <c r="UKG249" s="22"/>
      <c r="UKH249" s="22"/>
      <c r="UKI249" s="22"/>
      <c r="UKJ249" s="22"/>
      <c r="UKK249" s="22"/>
      <c r="UKL249" s="22"/>
      <c r="UKM249" s="22"/>
      <c r="UKN249" s="22"/>
      <c r="UKO249" s="22"/>
      <c r="UKP249" s="22"/>
      <c r="UKQ249" s="22"/>
      <c r="UKR249" s="22"/>
      <c r="UKS249" s="22"/>
      <c r="UKT249" s="22"/>
      <c r="UKU249" s="22"/>
      <c r="UKV249" s="22"/>
      <c r="UKW249" s="22"/>
      <c r="UKX249" s="22"/>
      <c r="UKY249" s="22"/>
      <c r="UKZ249" s="22"/>
      <c r="ULA249" s="22"/>
      <c r="ULB249" s="22"/>
      <c r="ULC249" s="22"/>
      <c r="ULD249" s="22"/>
      <c r="ULE249" s="22"/>
      <c r="ULF249" s="22"/>
      <c r="ULG249" s="22"/>
      <c r="ULH249" s="22"/>
      <c r="ULI249" s="22"/>
      <c r="ULJ249" s="22"/>
      <c r="ULK249" s="22"/>
      <c r="ULL249" s="22"/>
      <c r="ULM249" s="22"/>
      <c r="ULN249" s="22"/>
      <c r="ULO249" s="22"/>
      <c r="ULP249" s="22"/>
      <c r="ULQ249" s="22"/>
      <c r="ULR249" s="22"/>
      <c r="ULS249" s="22"/>
      <c r="ULT249" s="22"/>
      <c r="ULU249" s="22"/>
      <c r="ULV249" s="22"/>
      <c r="ULW249" s="22"/>
      <c r="ULX249" s="22"/>
      <c r="ULY249" s="22"/>
      <c r="ULZ249" s="22"/>
      <c r="UMA249" s="22"/>
      <c r="UMB249" s="22"/>
      <c r="UMC249" s="22"/>
      <c r="UMD249" s="22"/>
      <c r="UME249" s="22"/>
      <c r="UMF249" s="22"/>
      <c r="UMG249" s="22"/>
      <c r="UMH249" s="22"/>
      <c r="UMI249" s="22"/>
      <c r="UMJ249" s="22"/>
      <c r="UMK249" s="22"/>
      <c r="UML249" s="22"/>
      <c r="UMM249" s="22"/>
      <c r="UMN249" s="22"/>
      <c r="UMO249" s="22"/>
      <c r="UMP249" s="22"/>
      <c r="UMQ249" s="22"/>
      <c r="UMR249" s="22"/>
      <c r="UMS249" s="22"/>
      <c r="UMT249" s="22"/>
      <c r="UMU249" s="22"/>
      <c r="UMV249" s="22"/>
      <c r="UMW249" s="22"/>
      <c r="UMX249" s="22"/>
      <c r="UMY249" s="22"/>
      <c r="UMZ249" s="22"/>
      <c r="UNA249" s="22"/>
      <c r="UNB249" s="22"/>
      <c r="UNC249" s="22"/>
      <c r="UND249" s="22"/>
      <c r="UNE249" s="22"/>
      <c r="UNF249" s="22"/>
      <c r="UNG249" s="22"/>
      <c r="UNH249" s="22"/>
      <c r="UNI249" s="22"/>
      <c r="UNJ249" s="22"/>
      <c r="UNK249" s="22"/>
      <c r="UNL249" s="22"/>
      <c r="UNM249" s="22"/>
      <c r="UNN249" s="22"/>
      <c r="UNO249" s="22"/>
      <c r="UNP249" s="22"/>
      <c r="UNQ249" s="22"/>
      <c r="UNR249" s="22"/>
      <c r="UNS249" s="22"/>
      <c r="UNT249" s="22"/>
      <c r="UNU249" s="22"/>
      <c r="UNV249" s="22"/>
      <c r="UNW249" s="22"/>
      <c r="UNX249" s="22"/>
      <c r="UNY249" s="22"/>
      <c r="UNZ249" s="22"/>
      <c r="UOA249" s="22"/>
      <c r="UOB249" s="22"/>
      <c r="UOC249" s="22"/>
      <c r="UOD249" s="22"/>
      <c r="UOE249" s="22"/>
      <c r="UOF249" s="22"/>
      <c r="UOG249" s="22"/>
      <c r="UOH249" s="22"/>
      <c r="UOI249" s="22"/>
      <c r="UOJ249" s="22"/>
      <c r="UOK249" s="22"/>
      <c r="UOL249" s="22"/>
      <c r="UOM249" s="22"/>
      <c r="UON249" s="22"/>
      <c r="UOO249" s="22"/>
      <c r="UOP249" s="22"/>
      <c r="UOQ249" s="22"/>
      <c r="UOR249" s="22"/>
      <c r="UOS249" s="22"/>
      <c r="UOT249" s="22"/>
      <c r="UOU249" s="22"/>
      <c r="UOV249" s="22"/>
      <c r="UOW249" s="22"/>
      <c r="UOX249" s="22"/>
      <c r="UOY249" s="22"/>
      <c r="UOZ249" s="22"/>
      <c r="UPA249" s="22"/>
      <c r="UPB249" s="22"/>
      <c r="UPC249" s="22"/>
      <c r="UPD249" s="22"/>
      <c r="UPE249" s="22"/>
      <c r="UPF249" s="22"/>
      <c r="UPG249" s="22"/>
      <c r="UPH249" s="22"/>
      <c r="UPI249" s="22"/>
      <c r="UPJ249" s="22"/>
      <c r="UPK249" s="22"/>
      <c r="UPL249" s="22"/>
      <c r="UPM249" s="22"/>
      <c r="UPN249" s="22"/>
      <c r="UPO249" s="22"/>
      <c r="UPP249" s="22"/>
      <c r="UPQ249" s="22"/>
      <c r="UPR249" s="22"/>
      <c r="UPS249" s="22"/>
      <c r="UPT249" s="22"/>
      <c r="UPU249" s="22"/>
      <c r="UPV249" s="22"/>
      <c r="UPW249" s="22"/>
      <c r="UPX249" s="22"/>
      <c r="UPY249" s="22"/>
      <c r="UPZ249" s="22"/>
      <c r="UQA249" s="22"/>
      <c r="UQB249" s="22"/>
      <c r="UQC249" s="22"/>
      <c r="UQD249" s="22"/>
      <c r="UQE249" s="22"/>
      <c r="UQF249" s="22"/>
      <c r="UQG249" s="22"/>
      <c r="UQH249" s="22"/>
      <c r="UQI249" s="22"/>
      <c r="UQJ249" s="22"/>
      <c r="UQK249" s="22"/>
      <c r="UQL249" s="22"/>
      <c r="UQM249" s="22"/>
      <c r="UQN249" s="22"/>
      <c r="UQO249" s="22"/>
      <c r="UQP249" s="22"/>
      <c r="UQQ249" s="22"/>
      <c r="UQR249" s="22"/>
      <c r="UQS249" s="22"/>
      <c r="UQT249" s="22"/>
      <c r="UQU249" s="22"/>
      <c r="UQV249" s="22"/>
      <c r="UQW249" s="22"/>
      <c r="UQX249" s="22"/>
      <c r="UQY249" s="22"/>
      <c r="UQZ249" s="22"/>
      <c r="URA249" s="22"/>
      <c r="URB249" s="22"/>
      <c r="URC249" s="22"/>
      <c r="URD249" s="22"/>
      <c r="URE249" s="22"/>
      <c r="URF249" s="22"/>
      <c r="URG249" s="22"/>
      <c r="URH249" s="22"/>
      <c r="URI249" s="22"/>
      <c r="URJ249" s="22"/>
      <c r="URK249" s="22"/>
      <c r="URL249" s="22"/>
      <c r="URM249" s="22"/>
      <c r="URN249" s="22"/>
      <c r="URO249" s="22"/>
      <c r="URP249" s="22"/>
      <c r="URQ249" s="22"/>
      <c r="URR249" s="22"/>
      <c r="URS249" s="22"/>
      <c r="URT249" s="22"/>
      <c r="URU249" s="22"/>
      <c r="URV249" s="22"/>
      <c r="URW249" s="22"/>
      <c r="URX249" s="22"/>
      <c r="URY249" s="22"/>
      <c r="URZ249" s="22"/>
      <c r="USA249" s="22"/>
      <c r="USB249" s="22"/>
      <c r="USC249" s="22"/>
      <c r="USD249" s="22"/>
      <c r="USE249" s="22"/>
      <c r="USF249" s="22"/>
      <c r="USG249" s="22"/>
      <c r="USH249" s="22"/>
      <c r="USI249" s="22"/>
      <c r="USJ249" s="22"/>
      <c r="USK249" s="22"/>
      <c r="USL249" s="22"/>
      <c r="USM249" s="22"/>
      <c r="USN249" s="22"/>
      <c r="USO249" s="22"/>
      <c r="USP249" s="22"/>
      <c r="USQ249" s="22"/>
      <c r="USR249" s="22"/>
      <c r="USS249" s="22"/>
      <c r="UST249" s="22"/>
      <c r="USU249" s="22"/>
      <c r="USV249" s="22"/>
      <c r="USW249" s="22"/>
      <c r="USX249" s="22"/>
      <c r="USY249" s="22"/>
      <c r="USZ249" s="22"/>
      <c r="UTA249" s="22"/>
      <c r="UTB249" s="22"/>
      <c r="UTC249" s="22"/>
      <c r="UTD249" s="22"/>
      <c r="UTE249" s="22"/>
      <c r="UTF249" s="22"/>
      <c r="UTG249" s="22"/>
      <c r="UTH249" s="22"/>
      <c r="UTI249" s="22"/>
      <c r="UTJ249" s="22"/>
      <c r="UTK249" s="22"/>
      <c r="UTL249" s="22"/>
      <c r="UTM249" s="22"/>
      <c r="UTN249" s="22"/>
      <c r="UTO249" s="22"/>
      <c r="UTP249" s="22"/>
      <c r="UTQ249" s="22"/>
      <c r="UTR249" s="22"/>
      <c r="UTS249" s="22"/>
      <c r="UTT249" s="22"/>
      <c r="UTU249" s="22"/>
      <c r="UTV249" s="22"/>
      <c r="UTW249" s="22"/>
      <c r="UTX249" s="22"/>
      <c r="UTY249" s="22"/>
      <c r="UTZ249" s="22"/>
      <c r="UUA249" s="22"/>
      <c r="UUB249" s="22"/>
      <c r="UUC249" s="22"/>
      <c r="UUD249" s="22"/>
      <c r="UUE249" s="22"/>
      <c r="UUF249" s="22"/>
      <c r="UUG249" s="22"/>
      <c r="UUH249" s="22"/>
      <c r="UUI249" s="22"/>
      <c r="UUJ249" s="22"/>
      <c r="UUK249" s="22"/>
      <c r="UUL249" s="22"/>
      <c r="UUM249" s="22"/>
      <c r="UUN249" s="22"/>
      <c r="UUO249" s="22"/>
      <c r="UUP249" s="22"/>
      <c r="UUQ249" s="22"/>
      <c r="UUR249" s="22"/>
      <c r="UUS249" s="22"/>
      <c r="UUT249" s="22"/>
      <c r="UUU249" s="22"/>
      <c r="UUV249" s="22"/>
      <c r="UUW249" s="22"/>
      <c r="UUX249" s="22"/>
      <c r="UUY249" s="22"/>
      <c r="UUZ249" s="22"/>
      <c r="UVA249" s="22"/>
      <c r="UVB249" s="22"/>
      <c r="UVC249" s="22"/>
      <c r="UVD249" s="22"/>
      <c r="UVE249" s="22"/>
      <c r="UVF249" s="22"/>
      <c r="UVG249" s="22"/>
      <c r="UVH249" s="22"/>
      <c r="UVI249" s="22"/>
      <c r="UVJ249" s="22"/>
      <c r="UVK249" s="22"/>
      <c r="UVL249" s="22"/>
      <c r="UVM249" s="22"/>
      <c r="UVN249" s="22"/>
      <c r="UVO249" s="22"/>
      <c r="UVP249" s="22"/>
      <c r="UVQ249" s="22"/>
      <c r="UVR249" s="22"/>
      <c r="UVS249" s="22"/>
      <c r="UVT249" s="22"/>
      <c r="UVU249" s="22"/>
      <c r="UVV249" s="22"/>
      <c r="UVW249" s="22"/>
      <c r="UVX249" s="22"/>
      <c r="UVY249" s="22"/>
      <c r="UVZ249" s="22"/>
      <c r="UWA249" s="22"/>
      <c r="UWB249" s="22"/>
      <c r="UWC249" s="22"/>
      <c r="UWD249" s="22"/>
      <c r="UWE249" s="22"/>
      <c r="UWF249" s="22"/>
      <c r="UWG249" s="22"/>
      <c r="UWH249" s="22"/>
      <c r="UWI249" s="22"/>
      <c r="UWJ249" s="22"/>
      <c r="UWK249" s="22"/>
      <c r="UWL249" s="22"/>
      <c r="UWM249" s="22"/>
      <c r="UWN249" s="22"/>
      <c r="UWO249" s="22"/>
      <c r="UWP249" s="22"/>
      <c r="UWQ249" s="22"/>
      <c r="UWR249" s="22"/>
      <c r="UWS249" s="22"/>
      <c r="UWT249" s="22"/>
      <c r="UWU249" s="22"/>
      <c r="UWV249" s="22"/>
      <c r="UWW249" s="22"/>
      <c r="UWX249" s="22"/>
      <c r="UWY249" s="22"/>
      <c r="UWZ249" s="22"/>
      <c r="UXA249" s="22"/>
      <c r="UXB249" s="22"/>
      <c r="UXC249" s="22"/>
      <c r="UXD249" s="22"/>
      <c r="UXE249" s="22"/>
      <c r="UXF249" s="22"/>
      <c r="UXG249" s="22"/>
      <c r="UXH249" s="22"/>
      <c r="UXI249" s="22"/>
      <c r="UXJ249" s="22"/>
      <c r="UXK249" s="22"/>
      <c r="UXL249" s="22"/>
      <c r="UXM249" s="22"/>
      <c r="UXN249" s="22"/>
      <c r="UXO249" s="22"/>
      <c r="UXP249" s="22"/>
      <c r="UXQ249" s="22"/>
      <c r="UXR249" s="22"/>
      <c r="UXS249" s="22"/>
      <c r="UXT249" s="22"/>
      <c r="UXU249" s="22"/>
      <c r="UXV249" s="22"/>
      <c r="UXW249" s="22"/>
      <c r="UXX249" s="22"/>
      <c r="UXY249" s="22"/>
      <c r="UXZ249" s="22"/>
      <c r="UYA249" s="22"/>
      <c r="UYB249" s="22"/>
      <c r="UYC249" s="22"/>
      <c r="UYD249" s="22"/>
      <c r="UYE249" s="22"/>
      <c r="UYF249" s="22"/>
      <c r="UYG249" s="22"/>
      <c r="UYH249" s="22"/>
      <c r="UYI249" s="22"/>
      <c r="UYJ249" s="22"/>
      <c r="UYK249" s="22"/>
      <c r="UYL249" s="22"/>
      <c r="UYM249" s="22"/>
      <c r="UYN249" s="22"/>
      <c r="UYO249" s="22"/>
      <c r="UYP249" s="22"/>
      <c r="UYQ249" s="22"/>
      <c r="UYR249" s="22"/>
      <c r="UYS249" s="22"/>
      <c r="UYT249" s="22"/>
      <c r="UYU249" s="22"/>
      <c r="UYV249" s="22"/>
      <c r="UYW249" s="22"/>
      <c r="UYX249" s="22"/>
      <c r="UYY249" s="22"/>
      <c r="UYZ249" s="22"/>
      <c r="UZA249" s="22"/>
      <c r="UZB249" s="22"/>
      <c r="UZC249" s="22"/>
      <c r="UZD249" s="22"/>
      <c r="UZE249" s="22"/>
      <c r="UZF249" s="22"/>
      <c r="UZG249" s="22"/>
      <c r="UZH249" s="22"/>
      <c r="UZI249" s="22"/>
      <c r="UZJ249" s="22"/>
      <c r="UZK249" s="22"/>
      <c r="UZL249" s="22"/>
      <c r="UZM249" s="22"/>
      <c r="UZN249" s="22"/>
      <c r="UZO249" s="22"/>
      <c r="UZP249" s="22"/>
      <c r="UZQ249" s="22"/>
      <c r="UZR249" s="22"/>
      <c r="UZS249" s="22"/>
      <c r="UZT249" s="22"/>
      <c r="UZU249" s="22"/>
      <c r="UZV249" s="22"/>
      <c r="UZW249" s="22"/>
      <c r="UZX249" s="22"/>
      <c r="UZY249" s="22"/>
      <c r="UZZ249" s="22"/>
      <c r="VAA249" s="22"/>
      <c r="VAB249" s="22"/>
      <c r="VAC249" s="22"/>
      <c r="VAD249" s="22"/>
      <c r="VAE249" s="22"/>
      <c r="VAF249" s="22"/>
      <c r="VAG249" s="22"/>
      <c r="VAH249" s="22"/>
      <c r="VAI249" s="22"/>
      <c r="VAJ249" s="22"/>
      <c r="VAK249" s="22"/>
      <c r="VAL249" s="22"/>
      <c r="VAM249" s="22"/>
      <c r="VAN249" s="22"/>
      <c r="VAO249" s="22"/>
      <c r="VAP249" s="22"/>
      <c r="VAQ249" s="22"/>
      <c r="VAR249" s="22"/>
      <c r="VAS249" s="22"/>
      <c r="VAT249" s="22"/>
      <c r="VAU249" s="22"/>
      <c r="VAV249" s="22"/>
      <c r="VAW249" s="22"/>
      <c r="VAX249" s="22"/>
      <c r="VAY249" s="22"/>
      <c r="VAZ249" s="22"/>
      <c r="VBA249" s="22"/>
      <c r="VBB249" s="22"/>
      <c r="VBC249" s="22"/>
      <c r="VBD249" s="22"/>
      <c r="VBE249" s="22"/>
      <c r="VBF249" s="22"/>
      <c r="VBG249" s="22"/>
      <c r="VBH249" s="22"/>
      <c r="VBI249" s="22"/>
      <c r="VBJ249" s="22"/>
      <c r="VBK249" s="22"/>
      <c r="VBL249" s="22"/>
      <c r="VBM249" s="22"/>
      <c r="VBN249" s="22"/>
      <c r="VBO249" s="22"/>
      <c r="VBP249" s="22"/>
      <c r="VBQ249" s="22"/>
      <c r="VBR249" s="22"/>
      <c r="VBS249" s="22"/>
      <c r="VBT249" s="22"/>
      <c r="VBU249" s="22"/>
      <c r="VBV249" s="22"/>
      <c r="VBW249" s="22"/>
      <c r="VBX249" s="22"/>
      <c r="VBY249" s="22"/>
      <c r="VBZ249" s="22"/>
      <c r="VCA249" s="22"/>
      <c r="VCB249" s="22"/>
      <c r="VCC249" s="22"/>
      <c r="VCD249" s="22"/>
      <c r="VCE249" s="22"/>
      <c r="VCF249" s="22"/>
      <c r="VCG249" s="22"/>
      <c r="VCH249" s="22"/>
      <c r="VCI249" s="22"/>
      <c r="VCJ249" s="22"/>
      <c r="VCK249" s="22"/>
      <c r="VCL249" s="22"/>
      <c r="VCM249" s="22"/>
      <c r="VCN249" s="22"/>
      <c r="VCO249" s="22"/>
      <c r="VCP249" s="22"/>
      <c r="VCQ249" s="22"/>
      <c r="VCR249" s="22"/>
      <c r="VCS249" s="22"/>
      <c r="VCT249" s="22"/>
      <c r="VCU249" s="22"/>
      <c r="VCV249" s="22"/>
      <c r="VCW249" s="22"/>
      <c r="VCX249" s="22"/>
      <c r="VCY249" s="22"/>
      <c r="VCZ249" s="22"/>
      <c r="VDA249" s="22"/>
      <c r="VDB249" s="22"/>
      <c r="VDC249" s="22"/>
      <c r="VDD249" s="22"/>
      <c r="VDE249" s="22"/>
      <c r="VDF249" s="22"/>
      <c r="VDG249" s="22"/>
      <c r="VDH249" s="22"/>
      <c r="VDI249" s="22"/>
      <c r="VDJ249" s="22"/>
      <c r="VDK249" s="22"/>
      <c r="VDL249" s="22"/>
      <c r="VDM249" s="22"/>
      <c r="VDN249" s="22"/>
      <c r="VDO249" s="22"/>
      <c r="VDP249" s="22"/>
      <c r="VDQ249" s="22"/>
      <c r="VDR249" s="22"/>
      <c r="VDS249" s="22"/>
      <c r="VDT249" s="22"/>
      <c r="VDU249" s="22"/>
      <c r="VDV249" s="22"/>
      <c r="VDW249" s="22"/>
      <c r="VDX249" s="22"/>
      <c r="VDY249" s="22"/>
      <c r="VDZ249" s="22"/>
      <c r="VEA249" s="22"/>
      <c r="VEB249" s="22"/>
      <c r="VEC249" s="22"/>
      <c r="VED249" s="22"/>
      <c r="VEE249" s="22"/>
      <c r="VEF249" s="22"/>
      <c r="VEG249" s="22"/>
      <c r="VEH249" s="22"/>
      <c r="VEI249" s="22"/>
      <c r="VEJ249" s="22"/>
      <c r="VEK249" s="22"/>
      <c r="VEL249" s="22"/>
      <c r="VEM249" s="22"/>
      <c r="VEN249" s="22"/>
      <c r="VEO249" s="22"/>
      <c r="VEP249" s="22"/>
      <c r="VEQ249" s="22"/>
      <c r="VER249" s="22"/>
      <c r="VES249" s="22"/>
      <c r="VET249" s="22"/>
      <c r="VEU249" s="22"/>
      <c r="VEV249" s="22"/>
      <c r="VEW249" s="22"/>
      <c r="VEX249" s="22"/>
      <c r="VEY249" s="22"/>
      <c r="VEZ249" s="22"/>
      <c r="VFA249" s="22"/>
      <c r="VFB249" s="22"/>
      <c r="VFC249" s="22"/>
      <c r="VFD249" s="22"/>
      <c r="VFE249" s="22"/>
      <c r="VFF249" s="22"/>
      <c r="VFG249" s="22"/>
      <c r="VFH249" s="22"/>
      <c r="VFI249" s="22"/>
      <c r="VFJ249" s="22"/>
      <c r="VFK249" s="22"/>
      <c r="VFL249" s="22"/>
      <c r="VFM249" s="22"/>
      <c r="VFN249" s="22"/>
      <c r="VFO249" s="22"/>
      <c r="VFP249" s="22"/>
      <c r="VFQ249" s="22"/>
      <c r="VFR249" s="22"/>
      <c r="VFS249" s="22"/>
      <c r="VFT249" s="22"/>
      <c r="VFU249" s="22"/>
      <c r="VFV249" s="22"/>
      <c r="VFW249" s="22"/>
      <c r="VFX249" s="22"/>
      <c r="VFY249" s="22"/>
      <c r="VFZ249" s="22"/>
      <c r="VGA249" s="22"/>
      <c r="VGB249" s="22"/>
      <c r="VGC249" s="22"/>
      <c r="VGD249" s="22"/>
      <c r="VGE249" s="22"/>
      <c r="VGF249" s="22"/>
      <c r="VGG249" s="22"/>
      <c r="VGH249" s="22"/>
      <c r="VGI249" s="22"/>
      <c r="VGJ249" s="22"/>
      <c r="VGK249" s="22"/>
      <c r="VGL249" s="22"/>
      <c r="VGM249" s="22"/>
      <c r="VGN249" s="22"/>
      <c r="VGO249" s="22"/>
      <c r="VGP249" s="22"/>
      <c r="VGQ249" s="22"/>
      <c r="VGR249" s="22"/>
      <c r="VGS249" s="22"/>
      <c r="VGT249" s="22"/>
      <c r="VGU249" s="22"/>
      <c r="VGV249" s="22"/>
      <c r="VGW249" s="22"/>
      <c r="VGX249" s="22"/>
      <c r="VGY249" s="22"/>
      <c r="VGZ249" s="22"/>
      <c r="VHA249" s="22"/>
      <c r="VHB249" s="22"/>
      <c r="VHC249" s="22"/>
      <c r="VHD249" s="22"/>
      <c r="VHE249" s="22"/>
      <c r="VHF249" s="22"/>
      <c r="VHG249" s="22"/>
      <c r="VHH249" s="22"/>
      <c r="VHI249" s="22"/>
      <c r="VHJ249" s="22"/>
      <c r="VHK249" s="22"/>
      <c r="VHL249" s="22"/>
      <c r="VHM249" s="22"/>
      <c r="VHN249" s="22"/>
      <c r="VHO249" s="22"/>
      <c r="VHP249" s="22"/>
      <c r="VHQ249" s="22"/>
      <c r="VHR249" s="22"/>
      <c r="VHS249" s="22"/>
      <c r="VHT249" s="22"/>
      <c r="VHU249" s="22"/>
      <c r="VHV249" s="22"/>
      <c r="VHW249" s="22"/>
      <c r="VHX249" s="22"/>
      <c r="VHY249" s="22"/>
      <c r="VHZ249" s="22"/>
      <c r="VIA249" s="22"/>
      <c r="VIB249" s="22"/>
      <c r="VIC249" s="22"/>
      <c r="VID249" s="22"/>
      <c r="VIE249" s="22"/>
      <c r="VIF249" s="22"/>
      <c r="VIG249" s="22"/>
      <c r="VIH249" s="22"/>
      <c r="VII249" s="22"/>
      <c r="VIJ249" s="22"/>
      <c r="VIK249" s="22"/>
      <c r="VIL249" s="22"/>
      <c r="VIM249" s="22"/>
      <c r="VIN249" s="22"/>
      <c r="VIO249" s="22"/>
      <c r="VIP249" s="22"/>
      <c r="VIQ249" s="22"/>
      <c r="VIR249" s="22"/>
      <c r="VIS249" s="22"/>
      <c r="VIT249" s="22"/>
      <c r="VIU249" s="22"/>
      <c r="VIV249" s="22"/>
      <c r="VIW249" s="22"/>
      <c r="VIX249" s="22"/>
      <c r="VIY249" s="22"/>
      <c r="VIZ249" s="22"/>
      <c r="VJA249" s="22"/>
      <c r="VJB249" s="22"/>
      <c r="VJC249" s="22"/>
      <c r="VJD249" s="22"/>
      <c r="VJE249" s="22"/>
      <c r="VJF249" s="22"/>
      <c r="VJG249" s="22"/>
      <c r="VJH249" s="22"/>
      <c r="VJI249" s="22"/>
      <c r="VJJ249" s="22"/>
      <c r="VJK249" s="22"/>
      <c r="VJL249" s="22"/>
      <c r="VJM249" s="22"/>
      <c r="VJN249" s="22"/>
      <c r="VJO249" s="22"/>
      <c r="VJP249" s="22"/>
      <c r="VJQ249" s="22"/>
      <c r="VJR249" s="22"/>
      <c r="VJS249" s="22"/>
      <c r="VJT249" s="22"/>
      <c r="VJU249" s="22"/>
      <c r="VJV249" s="22"/>
      <c r="VJW249" s="22"/>
      <c r="VJX249" s="22"/>
      <c r="VJY249" s="22"/>
      <c r="VJZ249" s="22"/>
      <c r="VKA249" s="22"/>
      <c r="VKB249" s="22"/>
      <c r="VKC249" s="22"/>
      <c r="VKD249" s="22"/>
      <c r="VKE249" s="22"/>
      <c r="VKF249" s="22"/>
      <c r="VKG249" s="22"/>
      <c r="VKH249" s="22"/>
      <c r="VKI249" s="22"/>
      <c r="VKJ249" s="22"/>
      <c r="VKK249" s="22"/>
      <c r="VKL249" s="22"/>
      <c r="VKM249" s="22"/>
      <c r="VKN249" s="22"/>
      <c r="VKO249" s="22"/>
      <c r="VKP249" s="22"/>
      <c r="VKQ249" s="22"/>
      <c r="VKR249" s="22"/>
      <c r="VKS249" s="22"/>
      <c r="VKT249" s="22"/>
      <c r="VKU249" s="22"/>
      <c r="VKV249" s="22"/>
      <c r="VKW249" s="22"/>
      <c r="VKX249" s="22"/>
      <c r="VKY249" s="22"/>
      <c r="VKZ249" s="22"/>
      <c r="VLA249" s="22"/>
      <c r="VLB249" s="22"/>
      <c r="VLC249" s="22"/>
      <c r="VLD249" s="22"/>
      <c r="VLE249" s="22"/>
      <c r="VLF249" s="22"/>
      <c r="VLG249" s="22"/>
      <c r="VLH249" s="22"/>
      <c r="VLI249" s="22"/>
      <c r="VLJ249" s="22"/>
      <c r="VLK249" s="22"/>
      <c r="VLL249" s="22"/>
      <c r="VLM249" s="22"/>
      <c r="VLN249" s="22"/>
      <c r="VLO249" s="22"/>
      <c r="VLP249" s="22"/>
      <c r="VLQ249" s="22"/>
      <c r="VLR249" s="22"/>
      <c r="VLS249" s="22"/>
      <c r="VLT249" s="22"/>
      <c r="VLU249" s="22"/>
      <c r="VLV249" s="22"/>
      <c r="VLW249" s="22"/>
      <c r="VLX249" s="22"/>
      <c r="VLY249" s="22"/>
      <c r="VLZ249" s="22"/>
      <c r="VMA249" s="22"/>
      <c r="VMB249" s="22"/>
      <c r="VMC249" s="22"/>
      <c r="VMD249" s="22"/>
      <c r="VME249" s="22"/>
      <c r="VMF249" s="22"/>
      <c r="VMG249" s="22"/>
      <c r="VMH249" s="22"/>
      <c r="VMI249" s="22"/>
      <c r="VMJ249" s="22"/>
      <c r="VMK249" s="22"/>
      <c r="VML249" s="22"/>
      <c r="VMM249" s="22"/>
      <c r="VMN249" s="22"/>
      <c r="VMO249" s="22"/>
      <c r="VMP249" s="22"/>
      <c r="VMQ249" s="22"/>
      <c r="VMR249" s="22"/>
      <c r="VMS249" s="22"/>
      <c r="VMT249" s="22"/>
      <c r="VMU249" s="22"/>
      <c r="VMV249" s="22"/>
      <c r="VMW249" s="22"/>
      <c r="VMX249" s="22"/>
      <c r="VMY249" s="22"/>
      <c r="VMZ249" s="22"/>
      <c r="VNA249" s="22"/>
      <c r="VNB249" s="22"/>
      <c r="VNC249" s="22"/>
      <c r="VND249" s="22"/>
      <c r="VNE249" s="22"/>
      <c r="VNF249" s="22"/>
      <c r="VNG249" s="22"/>
      <c r="VNH249" s="22"/>
      <c r="VNI249" s="22"/>
      <c r="VNJ249" s="22"/>
      <c r="VNK249" s="22"/>
      <c r="VNL249" s="22"/>
      <c r="VNM249" s="22"/>
      <c r="VNN249" s="22"/>
      <c r="VNO249" s="22"/>
      <c r="VNP249" s="22"/>
      <c r="VNQ249" s="22"/>
      <c r="VNR249" s="22"/>
      <c r="VNS249" s="22"/>
      <c r="VNT249" s="22"/>
      <c r="VNU249" s="22"/>
      <c r="VNV249" s="22"/>
      <c r="VNW249" s="22"/>
      <c r="VNX249" s="22"/>
      <c r="VNY249" s="22"/>
      <c r="VNZ249" s="22"/>
      <c r="VOA249" s="22"/>
      <c r="VOB249" s="22"/>
      <c r="VOC249" s="22"/>
      <c r="VOD249" s="22"/>
      <c r="VOE249" s="22"/>
      <c r="VOF249" s="22"/>
      <c r="VOG249" s="22"/>
      <c r="VOH249" s="22"/>
      <c r="VOI249" s="22"/>
      <c r="VOJ249" s="22"/>
      <c r="VOK249" s="22"/>
      <c r="VOL249" s="22"/>
      <c r="VOM249" s="22"/>
      <c r="VON249" s="22"/>
      <c r="VOO249" s="22"/>
      <c r="VOP249" s="22"/>
      <c r="VOQ249" s="22"/>
      <c r="VOR249" s="22"/>
      <c r="VOS249" s="22"/>
      <c r="VOT249" s="22"/>
      <c r="VOU249" s="22"/>
      <c r="VOV249" s="22"/>
      <c r="VOW249" s="22"/>
      <c r="VOX249" s="22"/>
      <c r="VOY249" s="22"/>
      <c r="VOZ249" s="22"/>
      <c r="VPA249" s="22"/>
      <c r="VPB249" s="22"/>
      <c r="VPC249" s="22"/>
      <c r="VPD249" s="22"/>
      <c r="VPE249" s="22"/>
      <c r="VPF249" s="22"/>
      <c r="VPG249" s="22"/>
      <c r="VPH249" s="22"/>
      <c r="VPI249" s="22"/>
      <c r="VPJ249" s="22"/>
      <c r="VPK249" s="22"/>
      <c r="VPL249" s="22"/>
      <c r="VPM249" s="22"/>
      <c r="VPN249" s="22"/>
      <c r="VPO249" s="22"/>
      <c r="VPP249" s="22"/>
      <c r="VPQ249" s="22"/>
      <c r="VPR249" s="22"/>
      <c r="VPS249" s="22"/>
      <c r="VPT249" s="22"/>
      <c r="VPU249" s="22"/>
      <c r="VPV249" s="22"/>
      <c r="VPW249" s="22"/>
      <c r="VPX249" s="22"/>
      <c r="VPY249" s="22"/>
      <c r="VPZ249" s="22"/>
      <c r="VQA249" s="22"/>
      <c r="VQB249" s="22"/>
      <c r="VQC249" s="22"/>
      <c r="VQD249" s="22"/>
      <c r="VQE249" s="22"/>
      <c r="VQF249" s="22"/>
      <c r="VQG249" s="22"/>
      <c r="VQH249" s="22"/>
      <c r="VQI249" s="22"/>
      <c r="VQJ249" s="22"/>
      <c r="VQK249" s="22"/>
      <c r="VQL249" s="22"/>
      <c r="VQM249" s="22"/>
      <c r="VQN249" s="22"/>
      <c r="VQO249" s="22"/>
      <c r="VQP249" s="22"/>
      <c r="VQQ249" s="22"/>
      <c r="VQR249" s="22"/>
      <c r="VQS249" s="22"/>
      <c r="VQT249" s="22"/>
      <c r="VQU249" s="22"/>
      <c r="VQV249" s="22"/>
      <c r="VQW249" s="22"/>
      <c r="VQX249" s="22"/>
      <c r="VQY249" s="22"/>
      <c r="VQZ249" s="22"/>
      <c r="VRA249" s="22"/>
      <c r="VRB249" s="22"/>
      <c r="VRC249" s="22"/>
      <c r="VRD249" s="22"/>
      <c r="VRE249" s="22"/>
      <c r="VRF249" s="22"/>
      <c r="VRG249" s="22"/>
      <c r="VRH249" s="22"/>
      <c r="VRI249" s="22"/>
      <c r="VRJ249" s="22"/>
      <c r="VRK249" s="22"/>
      <c r="VRL249" s="22"/>
      <c r="VRM249" s="22"/>
      <c r="VRN249" s="22"/>
      <c r="VRO249" s="22"/>
      <c r="VRP249" s="22"/>
      <c r="VRQ249" s="22"/>
      <c r="VRR249" s="22"/>
      <c r="VRS249" s="22"/>
      <c r="VRT249" s="22"/>
      <c r="VRU249" s="22"/>
      <c r="VRV249" s="22"/>
      <c r="VRW249" s="22"/>
      <c r="VRX249" s="22"/>
      <c r="VRY249" s="22"/>
      <c r="VRZ249" s="22"/>
      <c r="VSA249" s="22"/>
      <c r="VSB249" s="22"/>
      <c r="VSC249" s="22"/>
      <c r="VSD249" s="22"/>
      <c r="VSE249" s="22"/>
      <c r="VSF249" s="22"/>
      <c r="VSG249" s="22"/>
      <c r="VSH249" s="22"/>
      <c r="VSI249" s="22"/>
      <c r="VSJ249" s="22"/>
      <c r="VSK249" s="22"/>
      <c r="VSL249" s="22"/>
      <c r="VSM249" s="22"/>
      <c r="VSN249" s="22"/>
      <c r="VSO249" s="22"/>
      <c r="VSP249" s="22"/>
      <c r="VSQ249" s="22"/>
      <c r="VSR249" s="22"/>
      <c r="VSS249" s="22"/>
      <c r="VST249" s="22"/>
      <c r="VSU249" s="22"/>
      <c r="VSV249" s="22"/>
      <c r="VSW249" s="22"/>
      <c r="VSX249" s="22"/>
      <c r="VSY249" s="22"/>
      <c r="VSZ249" s="22"/>
      <c r="VTA249" s="22"/>
      <c r="VTB249" s="22"/>
      <c r="VTC249" s="22"/>
      <c r="VTD249" s="22"/>
      <c r="VTE249" s="22"/>
      <c r="VTF249" s="22"/>
      <c r="VTG249" s="22"/>
      <c r="VTH249" s="22"/>
      <c r="VTI249" s="22"/>
      <c r="VTJ249" s="22"/>
      <c r="VTK249" s="22"/>
      <c r="VTL249" s="22"/>
      <c r="VTM249" s="22"/>
      <c r="VTN249" s="22"/>
      <c r="VTO249" s="22"/>
      <c r="VTP249" s="22"/>
      <c r="VTQ249" s="22"/>
      <c r="VTR249" s="22"/>
      <c r="VTS249" s="22"/>
      <c r="VTT249" s="22"/>
      <c r="VTU249" s="22"/>
      <c r="VTV249" s="22"/>
      <c r="VTW249" s="22"/>
      <c r="VTX249" s="22"/>
      <c r="VTY249" s="22"/>
      <c r="VTZ249" s="22"/>
      <c r="VUA249" s="22"/>
      <c r="VUB249" s="22"/>
      <c r="VUC249" s="22"/>
      <c r="VUD249" s="22"/>
      <c r="VUE249" s="22"/>
      <c r="VUF249" s="22"/>
      <c r="VUG249" s="22"/>
      <c r="VUH249" s="22"/>
      <c r="VUI249" s="22"/>
      <c r="VUJ249" s="22"/>
      <c r="VUK249" s="22"/>
      <c r="VUL249" s="22"/>
      <c r="VUM249" s="22"/>
      <c r="VUN249" s="22"/>
      <c r="VUO249" s="22"/>
      <c r="VUP249" s="22"/>
      <c r="VUQ249" s="22"/>
      <c r="VUR249" s="22"/>
      <c r="VUS249" s="22"/>
      <c r="VUT249" s="22"/>
      <c r="VUU249" s="22"/>
      <c r="VUV249" s="22"/>
      <c r="VUW249" s="22"/>
      <c r="VUX249" s="22"/>
      <c r="VUY249" s="22"/>
      <c r="VUZ249" s="22"/>
      <c r="VVA249" s="22"/>
      <c r="VVB249" s="22"/>
      <c r="VVC249" s="22"/>
      <c r="VVD249" s="22"/>
      <c r="VVE249" s="22"/>
      <c r="VVF249" s="22"/>
      <c r="VVG249" s="22"/>
      <c r="VVH249" s="22"/>
      <c r="VVI249" s="22"/>
      <c r="VVJ249" s="22"/>
      <c r="VVK249" s="22"/>
      <c r="VVL249" s="22"/>
      <c r="VVM249" s="22"/>
      <c r="VVN249" s="22"/>
      <c r="VVO249" s="22"/>
      <c r="VVP249" s="22"/>
      <c r="VVQ249" s="22"/>
      <c r="VVR249" s="22"/>
      <c r="VVS249" s="22"/>
      <c r="VVT249" s="22"/>
      <c r="VVU249" s="22"/>
      <c r="VVV249" s="22"/>
      <c r="VVW249" s="22"/>
      <c r="VVX249" s="22"/>
      <c r="VVY249" s="22"/>
      <c r="VVZ249" s="22"/>
      <c r="VWA249" s="22"/>
      <c r="VWB249" s="22"/>
      <c r="VWC249" s="22"/>
      <c r="VWD249" s="22"/>
      <c r="VWE249" s="22"/>
      <c r="VWF249" s="22"/>
      <c r="VWG249" s="22"/>
      <c r="VWH249" s="22"/>
      <c r="VWI249" s="22"/>
      <c r="VWJ249" s="22"/>
      <c r="VWK249" s="22"/>
      <c r="VWL249" s="22"/>
      <c r="VWM249" s="22"/>
      <c r="VWN249" s="22"/>
      <c r="VWO249" s="22"/>
      <c r="VWP249" s="22"/>
      <c r="VWQ249" s="22"/>
      <c r="VWR249" s="22"/>
      <c r="VWS249" s="22"/>
      <c r="VWT249" s="22"/>
      <c r="VWU249" s="22"/>
      <c r="VWV249" s="22"/>
      <c r="VWW249" s="22"/>
      <c r="VWX249" s="22"/>
      <c r="VWY249" s="22"/>
      <c r="VWZ249" s="22"/>
      <c r="VXA249" s="22"/>
      <c r="VXB249" s="22"/>
      <c r="VXC249" s="22"/>
      <c r="VXD249" s="22"/>
      <c r="VXE249" s="22"/>
      <c r="VXF249" s="22"/>
      <c r="VXG249" s="22"/>
      <c r="VXH249" s="22"/>
      <c r="VXI249" s="22"/>
      <c r="VXJ249" s="22"/>
      <c r="VXK249" s="22"/>
      <c r="VXL249" s="22"/>
      <c r="VXM249" s="22"/>
      <c r="VXN249" s="22"/>
      <c r="VXO249" s="22"/>
      <c r="VXP249" s="22"/>
      <c r="VXQ249" s="22"/>
      <c r="VXR249" s="22"/>
      <c r="VXS249" s="22"/>
      <c r="VXT249" s="22"/>
      <c r="VXU249" s="22"/>
      <c r="VXV249" s="22"/>
      <c r="VXW249" s="22"/>
      <c r="VXX249" s="22"/>
      <c r="VXY249" s="22"/>
      <c r="VXZ249" s="22"/>
      <c r="VYA249" s="22"/>
      <c r="VYB249" s="22"/>
      <c r="VYC249" s="22"/>
      <c r="VYD249" s="22"/>
      <c r="VYE249" s="22"/>
      <c r="VYF249" s="22"/>
      <c r="VYG249" s="22"/>
      <c r="VYH249" s="22"/>
      <c r="VYI249" s="22"/>
      <c r="VYJ249" s="22"/>
      <c r="VYK249" s="22"/>
      <c r="VYL249" s="22"/>
      <c r="VYM249" s="22"/>
      <c r="VYN249" s="22"/>
      <c r="VYO249" s="22"/>
      <c r="VYP249" s="22"/>
      <c r="VYQ249" s="22"/>
      <c r="VYR249" s="22"/>
      <c r="VYS249" s="22"/>
      <c r="VYT249" s="22"/>
      <c r="VYU249" s="22"/>
      <c r="VYV249" s="22"/>
      <c r="VYW249" s="22"/>
      <c r="VYX249" s="22"/>
      <c r="VYY249" s="22"/>
      <c r="VYZ249" s="22"/>
      <c r="VZA249" s="22"/>
      <c r="VZB249" s="22"/>
      <c r="VZC249" s="22"/>
      <c r="VZD249" s="22"/>
      <c r="VZE249" s="22"/>
      <c r="VZF249" s="22"/>
      <c r="VZG249" s="22"/>
      <c r="VZH249" s="22"/>
      <c r="VZI249" s="22"/>
      <c r="VZJ249" s="22"/>
      <c r="VZK249" s="22"/>
      <c r="VZL249" s="22"/>
      <c r="VZM249" s="22"/>
      <c r="VZN249" s="22"/>
      <c r="VZO249" s="22"/>
      <c r="VZP249" s="22"/>
      <c r="VZQ249" s="22"/>
      <c r="VZR249" s="22"/>
      <c r="VZS249" s="22"/>
      <c r="VZT249" s="22"/>
      <c r="VZU249" s="22"/>
      <c r="VZV249" s="22"/>
      <c r="VZW249" s="22"/>
      <c r="VZX249" s="22"/>
      <c r="VZY249" s="22"/>
      <c r="VZZ249" s="22"/>
      <c r="WAA249" s="22"/>
      <c r="WAB249" s="22"/>
      <c r="WAC249" s="22"/>
      <c r="WAD249" s="22"/>
      <c r="WAE249" s="22"/>
      <c r="WAF249" s="22"/>
      <c r="WAG249" s="22"/>
      <c r="WAH249" s="22"/>
      <c r="WAI249" s="22"/>
      <c r="WAJ249" s="22"/>
      <c r="WAK249" s="22"/>
      <c r="WAL249" s="22"/>
      <c r="WAM249" s="22"/>
      <c r="WAN249" s="22"/>
      <c r="WAO249" s="22"/>
      <c r="WAP249" s="22"/>
      <c r="WAQ249" s="22"/>
      <c r="WAR249" s="22"/>
      <c r="WAS249" s="22"/>
      <c r="WAT249" s="22"/>
      <c r="WAU249" s="22"/>
      <c r="WAV249" s="22"/>
      <c r="WAW249" s="22"/>
      <c r="WAX249" s="22"/>
      <c r="WAY249" s="22"/>
      <c r="WAZ249" s="22"/>
      <c r="WBA249" s="22"/>
      <c r="WBB249" s="22"/>
      <c r="WBC249" s="22"/>
      <c r="WBD249" s="22"/>
      <c r="WBE249" s="22"/>
      <c r="WBF249" s="22"/>
      <c r="WBG249" s="22"/>
      <c r="WBH249" s="22"/>
      <c r="WBI249" s="22"/>
      <c r="WBJ249" s="22"/>
      <c r="WBK249" s="22"/>
      <c r="WBL249" s="22"/>
      <c r="WBM249" s="22"/>
      <c r="WBN249" s="22"/>
      <c r="WBO249" s="22"/>
      <c r="WBP249" s="22"/>
      <c r="WBQ249" s="22"/>
      <c r="WBR249" s="22"/>
      <c r="WBS249" s="22"/>
      <c r="WBT249" s="22"/>
      <c r="WBU249" s="22"/>
      <c r="WBV249" s="22"/>
      <c r="WBW249" s="22"/>
      <c r="WBX249" s="22"/>
      <c r="WBY249" s="22"/>
      <c r="WBZ249" s="22"/>
      <c r="WCA249" s="22"/>
      <c r="WCB249" s="22"/>
      <c r="WCC249" s="22"/>
      <c r="WCD249" s="22"/>
      <c r="WCE249" s="22"/>
      <c r="WCF249" s="22"/>
      <c r="WCG249" s="22"/>
      <c r="WCH249" s="22"/>
      <c r="WCI249" s="22"/>
      <c r="WCJ249" s="22"/>
      <c r="WCK249" s="22"/>
      <c r="WCL249" s="22"/>
      <c r="WCM249" s="22"/>
      <c r="WCN249" s="22"/>
      <c r="WCO249" s="22"/>
      <c r="WCP249" s="22"/>
      <c r="WCQ249" s="22"/>
      <c r="WCR249" s="22"/>
      <c r="WCS249" s="22"/>
      <c r="WCT249" s="22"/>
      <c r="WCU249" s="22"/>
      <c r="WCV249" s="22"/>
      <c r="WCW249" s="22"/>
      <c r="WCX249" s="22"/>
      <c r="WCY249" s="22"/>
      <c r="WCZ249" s="22"/>
      <c r="WDA249" s="22"/>
      <c r="WDB249" s="22"/>
      <c r="WDC249" s="22"/>
      <c r="WDD249" s="22"/>
      <c r="WDE249" s="22"/>
      <c r="WDF249" s="22"/>
      <c r="WDG249" s="22"/>
      <c r="WDH249" s="22"/>
      <c r="WDI249" s="22"/>
      <c r="WDJ249" s="22"/>
      <c r="WDK249" s="22"/>
      <c r="WDL249" s="22"/>
      <c r="WDM249" s="22"/>
      <c r="WDN249" s="22"/>
      <c r="WDO249" s="22"/>
      <c r="WDP249" s="22"/>
      <c r="WDQ249" s="22"/>
      <c r="WDR249" s="22"/>
      <c r="WDS249" s="22"/>
      <c r="WDT249" s="22"/>
      <c r="WDU249" s="22"/>
      <c r="WDV249" s="22"/>
      <c r="WDW249" s="22"/>
      <c r="WDX249" s="22"/>
      <c r="WDY249" s="22"/>
      <c r="WDZ249" s="22"/>
      <c r="WEA249" s="22"/>
      <c r="WEB249" s="22"/>
      <c r="WEC249" s="22"/>
      <c r="WED249" s="22"/>
      <c r="WEE249" s="22"/>
      <c r="WEF249" s="22"/>
      <c r="WEG249" s="22"/>
      <c r="WEH249" s="22"/>
      <c r="WEI249" s="22"/>
      <c r="WEJ249" s="22"/>
      <c r="WEK249" s="22"/>
      <c r="WEL249" s="22"/>
      <c r="WEM249" s="22"/>
      <c r="WEN249" s="22"/>
      <c r="WEO249" s="22"/>
      <c r="WEP249" s="22"/>
      <c r="WEQ249" s="22"/>
      <c r="WER249" s="22"/>
      <c r="WES249" s="22"/>
      <c r="WET249" s="22"/>
      <c r="WEU249" s="22"/>
      <c r="WEV249" s="22"/>
      <c r="WEW249" s="22"/>
      <c r="WEX249" s="22"/>
      <c r="WEY249" s="22"/>
      <c r="WEZ249" s="22"/>
      <c r="WFA249" s="22"/>
      <c r="WFB249" s="22"/>
      <c r="WFC249" s="22"/>
      <c r="WFD249" s="22"/>
      <c r="WFE249" s="22"/>
      <c r="WFF249" s="22"/>
      <c r="WFG249" s="22"/>
      <c r="WFH249" s="22"/>
      <c r="WFI249" s="22"/>
      <c r="WFJ249" s="22"/>
      <c r="WFK249" s="22"/>
      <c r="WFL249" s="22"/>
      <c r="WFM249" s="22"/>
      <c r="WFN249" s="22"/>
      <c r="WFO249" s="22"/>
      <c r="WFP249" s="22"/>
      <c r="WFQ249" s="22"/>
      <c r="WFR249" s="22"/>
      <c r="WFS249" s="22"/>
      <c r="WFT249" s="22"/>
      <c r="WFU249" s="22"/>
      <c r="WFV249" s="22"/>
      <c r="WFW249" s="22"/>
      <c r="WFX249" s="22"/>
      <c r="WFY249" s="22"/>
      <c r="WFZ249" s="22"/>
      <c r="WGA249" s="22"/>
      <c r="WGB249" s="22"/>
      <c r="WGC249" s="22"/>
      <c r="WGD249" s="22"/>
      <c r="WGE249" s="22"/>
      <c r="WGF249" s="22"/>
      <c r="WGG249" s="22"/>
      <c r="WGH249" s="22"/>
      <c r="WGI249" s="22"/>
      <c r="WGJ249" s="22"/>
      <c r="WGK249" s="22"/>
      <c r="WGL249" s="22"/>
      <c r="WGM249" s="22"/>
      <c r="WGN249" s="22"/>
      <c r="WGO249" s="22"/>
      <c r="WGP249" s="22"/>
      <c r="WGQ249" s="22"/>
      <c r="WGR249" s="22"/>
      <c r="WGS249" s="22"/>
      <c r="WGT249" s="22"/>
      <c r="WGU249" s="22"/>
      <c r="WGV249" s="22"/>
      <c r="WGW249" s="22"/>
      <c r="WGX249" s="22"/>
      <c r="WGY249" s="22"/>
      <c r="WGZ249" s="22"/>
      <c r="WHA249" s="22"/>
      <c r="WHB249" s="22"/>
      <c r="WHC249" s="22"/>
      <c r="WHD249" s="22"/>
      <c r="WHE249" s="22"/>
      <c r="WHF249" s="22"/>
      <c r="WHG249" s="22"/>
      <c r="WHH249" s="22"/>
      <c r="WHI249" s="22"/>
      <c r="WHJ249" s="22"/>
      <c r="WHK249" s="22"/>
      <c r="WHL249" s="22"/>
      <c r="WHM249" s="22"/>
      <c r="WHN249" s="22"/>
      <c r="WHO249" s="22"/>
      <c r="WHP249" s="22"/>
      <c r="WHQ249" s="22"/>
      <c r="WHR249" s="22"/>
      <c r="WHS249" s="22"/>
      <c r="WHT249" s="22"/>
      <c r="WHU249" s="22"/>
      <c r="WHV249" s="22"/>
      <c r="WHW249" s="22"/>
      <c r="WHX249" s="22"/>
      <c r="WHY249" s="22"/>
      <c r="WHZ249" s="22"/>
      <c r="WIA249" s="22"/>
      <c r="WIB249" s="22"/>
      <c r="WIC249" s="22"/>
      <c r="WID249" s="22"/>
      <c r="WIE249" s="22"/>
      <c r="WIF249" s="22"/>
      <c r="WIG249" s="22"/>
      <c r="WIH249" s="22"/>
      <c r="WII249" s="22"/>
      <c r="WIJ249" s="22"/>
      <c r="WIK249" s="22"/>
      <c r="WIL249" s="22"/>
      <c r="WIM249" s="22"/>
      <c r="WIN249" s="22"/>
      <c r="WIO249" s="22"/>
      <c r="WIP249" s="22"/>
      <c r="WIQ249" s="22"/>
      <c r="WIR249" s="22"/>
      <c r="WIS249" s="22"/>
      <c r="WIT249" s="22"/>
      <c r="WIU249" s="22"/>
      <c r="WIV249" s="22"/>
      <c r="WIW249" s="22"/>
      <c r="WIX249" s="22"/>
      <c r="WIY249" s="22"/>
      <c r="WIZ249" s="22"/>
      <c r="WJA249" s="22"/>
      <c r="WJB249" s="22"/>
      <c r="WJC249" s="22"/>
      <c r="WJD249" s="22"/>
      <c r="WJE249" s="22"/>
      <c r="WJF249" s="22"/>
      <c r="WJG249" s="22"/>
      <c r="WJH249" s="22"/>
      <c r="WJI249" s="22"/>
      <c r="WJJ249" s="22"/>
      <c r="WJK249" s="22"/>
      <c r="WJL249" s="22"/>
      <c r="WJM249" s="22"/>
      <c r="WJN249" s="22"/>
      <c r="WJO249" s="22"/>
      <c r="WJP249" s="22"/>
      <c r="WJQ249" s="22"/>
      <c r="WJR249" s="22"/>
      <c r="WJS249" s="22"/>
      <c r="WJT249" s="22"/>
      <c r="WJU249" s="22"/>
      <c r="WJV249" s="22"/>
      <c r="WJW249" s="22"/>
      <c r="WJX249" s="22"/>
      <c r="WJY249" s="22"/>
      <c r="WJZ249" s="22"/>
      <c r="WKA249" s="22"/>
      <c r="WKB249" s="22"/>
      <c r="WKC249" s="22"/>
      <c r="WKD249" s="22"/>
      <c r="WKE249" s="22"/>
      <c r="WKF249" s="22"/>
      <c r="WKG249" s="22"/>
      <c r="WKH249" s="22"/>
      <c r="WKI249" s="22"/>
      <c r="WKJ249" s="22"/>
      <c r="WKK249" s="22"/>
      <c r="WKL249" s="22"/>
      <c r="WKM249" s="22"/>
      <c r="WKN249" s="22"/>
      <c r="WKO249" s="22"/>
      <c r="WKP249" s="22"/>
      <c r="WKQ249" s="22"/>
      <c r="WKR249" s="22"/>
      <c r="WKS249" s="22"/>
      <c r="WKT249" s="22"/>
      <c r="WKU249" s="22"/>
      <c r="WKV249" s="22"/>
      <c r="WKW249" s="22"/>
      <c r="WKX249" s="22"/>
      <c r="WKY249" s="22"/>
      <c r="WKZ249" s="22"/>
      <c r="WLA249" s="22"/>
      <c r="WLB249" s="22"/>
      <c r="WLC249" s="22"/>
      <c r="WLD249" s="22"/>
      <c r="WLE249" s="22"/>
      <c r="WLF249" s="22"/>
      <c r="WLG249" s="22"/>
      <c r="WLH249" s="22"/>
      <c r="WLI249" s="22"/>
      <c r="WLJ249" s="22"/>
      <c r="WLK249" s="22"/>
      <c r="WLL249" s="22"/>
      <c r="WLM249" s="22"/>
      <c r="WLN249" s="22"/>
      <c r="WLO249" s="22"/>
      <c r="WLP249" s="22"/>
      <c r="WLQ249" s="22"/>
      <c r="WLR249" s="22"/>
      <c r="WLS249" s="22"/>
      <c r="WLT249" s="22"/>
      <c r="WLU249" s="22"/>
      <c r="WLV249" s="22"/>
      <c r="WLW249" s="22"/>
      <c r="WLX249" s="22"/>
      <c r="WLY249" s="22"/>
      <c r="WLZ249" s="22"/>
      <c r="WMA249" s="22"/>
      <c r="WMB249" s="22"/>
      <c r="WMC249" s="22"/>
      <c r="WMD249" s="22"/>
      <c r="WME249" s="22"/>
      <c r="WMF249" s="22"/>
      <c r="WMG249" s="22"/>
      <c r="WMH249" s="22"/>
      <c r="WMI249" s="22"/>
      <c r="WMJ249" s="22"/>
      <c r="WMK249" s="22"/>
      <c r="WML249" s="22"/>
      <c r="WMM249" s="22"/>
      <c r="WMN249" s="22"/>
      <c r="WMO249" s="22"/>
      <c r="WMP249" s="22"/>
      <c r="WMQ249" s="22"/>
      <c r="WMR249" s="22"/>
      <c r="WMS249" s="22"/>
      <c r="WMT249" s="22"/>
      <c r="WMU249" s="22"/>
      <c r="WMV249" s="22"/>
      <c r="WMW249" s="22"/>
      <c r="WMX249" s="22"/>
      <c r="WMY249" s="22"/>
      <c r="WMZ249" s="22"/>
      <c r="WNA249" s="22"/>
      <c r="WNB249" s="22"/>
      <c r="WNC249" s="22"/>
      <c r="WND249" s="22"/>
      <c r="WNE249" s="22"/>
      <c r="WNF249" s="22"/>
      <c r="WNG249" s="22"/>
      <c r="WNH249" s="22"/>
      <c r="WNI249" s="22"/>
      <c r="WNJ249" s="22"/>
      <c r="WNK249" s="22"/>
      <c r="WNL249" s="22"/>
      <c r="WNM249" s="22"/>
      <c r="WNN249" s="22"/>
      <c r="WNO249" s="22"/>
      <c r="WNP249" s="22"/>
      <c r="WNQ249" s="22"/>
      <c r="WNR249" s="22"/>
      <c r="WNS249" s="22"/>
      <c r="WNT249" s="22"/>
      <c r="WNU249" s="22"/>
      <c r="WNV249" s="22"/>
      <c r="WNW249" s="22"/>
      <c r="WNX249" s="22"/>
      <c r="WNY249" s="22"/>
      <c r="WNZ249" s="22"/>
      <c r="WOA249" s="22"/>
      <c r="WOB249" s="22"/>
      <c r="WOC249" s="22"/>
      <c r="WOD249" s="22"/>
      <c r="WOE249" s="22"/>
      <c r="WOF249" s="22"/>
      <c r="WOG249" s="22"/>
      <c r="WOH249" s="22"/>
      <c r="WOI249" s="22"/>
      <c r="WOJ249" s="22"/>
      <c r="WOK249" s="22"/>
      <c r="WOL249" s="22"/>
      <c r="WOM249" s="22"/>
      <c r="WON249" s="22"/>
      <c r="WOO249" s="22"/>
      <c r="WOP249" s="22"/>
      <c r="WOQ249" s="22"/>
      <c r="WOR249" s="22"/>
      <c r="WOS249" s="22"/>
      <c r="WOT249" s="22"/>
      <c r="WOU249" s="22"/>
      <c r="WOV249" s="22"/>
      <c r="WOW249" s="22"/>
      <c r="WOX249" s="22"/>
      <c r="WOY249" s="22"/>
      <c r="WOZ249" s="22"/>
      <c r="WPA249" s="22"/>
      <c r="WPB249" s="22"/>
      <c r="WPC249" s="22"/>
      <c r="WPD249" s="22"/>
      <c r="WPE249" s="22"/>
      <c r="WPF249" s="22"/>
      <c r="WPG249" s="22"/>
      <c r="WPH249" s="22"/>
      <c r="WPI249" s="22"/>
      <c r="WPJ249" s="22"/>
      <c r="WPK249" s="22"/>
      <c r="WPL249" s="22"/>
      <c r="WPM249" s="22"/>
      <c r="WPN249" s="22"/>
      <c r="WPO249" s="22"/>
      <c r="WPP249" s="22"/>
      <c r="WPQ249" s="22"/>
      <c r="WPR249" s="22"/>
      <c r="WPS249" s="22"/>
      <c r="WPT249" s="22"/>
      <c r="WPU249" s="22"/>
      <c r="WPV249" s="22"/>
      <c r="WPW249" s="22"/>
      <c r="WPX249" s="22"/>
      <c r="WPY249" s="22"/>
      <c r="WPZ249" s="22"/>
      <c r="WQA249" s="22"/>
      <c r="WQB249" s="22"/>
      <c r="WQC249" s="22"/>
      <c r="WQD249" s="22"/>
      <c r="WQE249" s="22"/>
      <c r="WQF249" s="22"/>
      <c r="WQG249" s="22"/>
      <c r="WQH249" s="22"/>
      <c r="WQI249" s="22"/>
      <c r="WQJ249" s="22"/>
      <c r="WQK249" s="22"/>
      <c r="WQL249" s="22"/>
      <c r="WQM249" s="22"/>
      <c r="WQN249" s="22"/>
      <c r="WQO249" s="22"/>
      <c r="WQP249" s="22"/>
      <c r="WQQ249" s="22"/>
      <c r="WQR249" s="22"/>
      <c r="WQS249" s="22"/>
      <c r="WQT249" s="22"/>
      <c r="WQU249" s="22"/>
      <c r="WQV249" s="22"/>
      <c r="WQW249" s="22"/>
      <c r="WQX249" s="22"/>
      <c r="WQY249" s="22"/>
      <c r="WQZ249" s="22"/>
      <c r="WRA249" s="22"/>
      <c r="WRB249" s="22"/>
      <c r="WRC249" s="22"/>
      <c r="WRD249" s="22"/>
      <c r="WRE249" s="22"/>
      <c r="WRF249" s="22"/>
      <c r="WRG249" s="22"/>
      <c r="WRH249" s="22"/>
      <c r="WRI249" s="22"/>
      <c r="WRJ249" s="22"/>
      <c r="WRK249" s="22"/>
      <c r="WRL249" s="22"/>
      <c r="WRM249" s="22"/>
      <c r="WRN249" s="22"/>
      <c r="WRO249" s="22"/>
      <c r="WRP249" s="22"/>
      <c r="WRQ249" s="22"/>
      <c r="WRR249" s="22"/>
      <c r="WRS249" s="22"/>
      <c r="WRT249" s="22"/>
      <c r="WRU249" s="22"/>
      <c r="WRV249" s="22"/>
      <c r="WRW249" s="22"/>
      <c r="WRX249" s="22"/>
      <c r="WRY249" s="22"/>
      <c r="WRZ249" s="22"/>
      <c r="WSA249" s="22"/>
      <c r="WSB249" s="22"/>
      <c r="WSC249" s="22"/>
      <c r="WSD249" s="22"/>
      <c r="WSE249" s="22"/>
      <c r="WSF249" s="22"/>
      <c r="WSG249" s="22"/>
      <c r="WSH249" s="22"/>
      <c r="WSI249" s="22"/>
      <c r="WSJ249" s="22"/>
      <c r="WSK249" s="22"/>
      <c r="WSL249" s="22"/>
      <c r="WSM249" s="22"/>
      <c r="WSN249" s="22"/>
      <c r="WSO249" s="22"/>
      <c r="WSP249" s="22"/>
      <c r="WSQ249" s="22"/>
      <c r="WSR249" s="22"/>
      <c r="WSS249" s="22"/>
      <c r="WST249" s="22"/>
      <c r="WSU249" s="22"/>
      <c r="WSV249" s="22"/>
      <c r="WSW249" s="22"/>
      <c r="WSX249" s="22"/>
      <c r="WSY249" s="22"/>
      <c r="WSZ249" s="22"/>
      <c r="WTA249" s="22"/>
      <c r="WTB249" s="22"/>
      <c r="WTC249" s="22"/>
      <c r="WTD249" s="22"/>
      <c r="WTE249" s="22"/>
      <c r="WTF249" s="22"/>
      <c r="WTG249" s="22"/>
      <c r="WTH249" s="22"/>
      <c r="WTI249" s="22"/>
      <c r="WTJ249" s="22"/>
      <c r="WTK249" s="22"/>
      <c r="WTL249" s="22"/>
      <c r="WTM249" s="22"/>
      <c r="WTN249" s="22"/>
      <c r="WTO249" s="22"/>
      <c r="WTP249" s="22"/>
      <c r="WTQ249" s="22"/>
      <c r="WTR249" s="22"/>
      <c r="WTS249" s="22"/>
      <c r="WTT249" s="22"/>
      <c r="WTU249" s="22"/>
      <c r="WTV249" s="22"/>
      <c r="WTW249" s="22"/>
      <c r="WTX249" s="22"/>
      <c r="WTY249" s="22"/>
      <c r="WTZ249" s="22"/>
      <c r="WUA249" s="22"/>
      <c r="WUB249" s="22"/>
      <c r="WUC249" s="22"/>
      <c r="WUD249" s="22"/>
      <c r="WUE249" s="22"/>
      <c r="WUF249" s="22"/>
      <c r="WUG249" s="22"/>
      <c r="WUH249" s="22"/>
      <c r="WUI249" s="22"/>
      <c r="WUJ249" s="22"/>
      <c r="WUK249" s="22"/>
      <c r="WUL249" s="22"/>
      <c r="WUM249" s="22"/>
      <c r="WUN249" s="22"/>
      <c r="WUO249" s="22"/>
      <c r="WUP249" s="22"/>
      <c r="WUQ249" s="22"/>
      <c r="WUR249" s="22"/>
      <c r="WUS249" s="22"/>
      <c r="WUT249" s="22"/>
      <c r="WUU249" s="22"/>
      <c r="WUV249" s="22"/>
      <c r="WUW249" s="22"/>
      <c r="WUX249" s="22"/>
      <c r="WUY249" s="22"/>
      <c r="WUZ249" s="22"/>
      <c r="WVA249" s="22"/>
      <c r="WVB249" s="22"/>
      <c r="WVC249" s="22"/>
      <c r="WVD249" s="22"/>
      <c r="WVE249" s="22"/>
      <c r="WVF249" s="22"/>
      <c r="WVG249" s="22"/>
      <c r="WVH249" s="22"/>
      <c r="WVI249" s="22"/>
      <c r="WVJ249" s="22"/>
      <c r="WVK249" s="22"/>
      <c r="WVL249" s="22"/>
      <c r="WVM249" s="22"/>
      <c r="WVN249" s="22"/>
      <c r="WVO249" s="22"/>
      <c r="WVP249" s="22"/>
      <c r="WVQ249" s="22"/>
      <c r="WVR249" s="22"/>
      <c r="WVS249" s="22"/>
      <c r="WVT249" s="22"/>
      <c r="WVU249" s="22"/>
      <c r="WVV249" s="22"/>
      <c r="WVW249" s="22"/>
      <c r="WVX249" s="22"/>
      <c r="WVY249" s="22"/>
      <c r="WVZ249" s="22"/>
      <c r="WWA249" s="22"/>
      <c r="WWB249" s="22"/>
      <c r="WWC249" s="22"/>
      <c r="WWD249" s="22"/>
      <c r="WWE249" s="22"/>
      <c r="WWF249" s="22"/>
      <c r="WWG249" s="22"/>
      <c r="WWH249" s="22"/>
      <c r="WWI249" s="22"/>
      <c r="WWJ249" s="22"/>
      <c r="WWK249" s="22"/>
      <c r="WWL249" s="22"/>
      <c r="WWM249" s="22"/>
      <c r="WWN249" s="22"/>
      <c r="WWO249" s="22"/>
      <c r="WWP249" s="22"/>
      <c r="WWQ249" s="22"/>
      <c r="WWR249" s="22"/>
      <c r="WWS249" s="22"/>
      <c r="WWT249" s="22"/>
      <c r="WWU249" s="22"/>
      <c r="WWV249" s="22"/>
      <c r="WWW249" s="22"/>
      <c r="WWX249" s="22"/>
      <c r="WWY249" s="22"/>
      <c r="WWZ249" s="22"/>
      <c r="WXA249" s="22"/>
      <c r="WXB249" s="22"/>
      <c r="WXC249" s="22"/>
      <c r="WXD249" s="22"/>
      <c r="WXE249" s="22"/>
      <c r="WXF249" s="22"/>
      <c r="WXG249" s="22"/>
      <c r="WXH249" s="22"/>
      <c r="WXI249" s="22"/>
      <c r="WXJ249" s="22"/>
      <c r="WXK249" s="22"/>
      <c r="WXL249" s="22"/>
      <c r="WXM249" s="22"/>
      <c r="WXN249" s="22"/>
      <c r="WXO249" s="22"/>
      <c r="WXP249" s="22"/>
      <c r="WXQ249" s="22"/>
      <c r="WXR249" s="22"/>
      <c r="WXS249" s="22"/>
      <c r="WXT249" s="22"/>
      <c r="WXU249" s="22"/>
      <c r="WXV249" s="22"/>
      <c r="WXW249" s="22"/>
      <c r="WXX249" s="22"/>
      <c r="WXY249" s="22"/>
      <c r="WXZ249" s="22"/>
      <c r="WYA249" s="22"/>
      <c r="WYB249" s="22"/>
      <c r="WYC249" s="22"/>
      <c r="WYD249" s="22"/>
      <c r="WYE249" s="22"/>
      <c r="WYF249" s="22"/>
      <c r="WYG249" s="22"/>
      <c r="WYH249" s="22"/>
      <c r="WYI249" s="22"/>
      <c r="WYJ249" s="22"/>
      <c r="WYK249" s="22"/>
      <c r="WYL249" s="22"/>
      <c r="WYM249" s="22"/>
      <c r="WYN249" s="22"/>
      <c r="WYO249" s="22"/>
      <c r="WYP249" s="22"/>
      <c r="WYQ249" s="22"/>
      <c r="WYR249" s="22"/>
      <c r="WYS249" s="22"/>
      <c r="WYT249" s="22"/>
      <c r="WYU249" s="22"/>
      <c r="WYV249" s="22"/>
      <c r="WYW249" s="22"/>
      <c r="WYX249" s="22"/>
      <c r="WYY249" s="22"/>
      <c r="WYZ249" s="22"/>
      <c r="WZA249" s="22"/>
      <c r="WZB249" s="22"/>
      <c r="WZC249" s="22"/>
      <c r="WZD249" s="22"/>
      <c r="WZE249" s="22"/>
      <c r="WZF249" s="22"/>
      <c r="WZG249" s="22"/>
      <c r="WZH249" s="22"/>
      <c r="WZI249" s="22"/>
      <c r="WZJ249" s="22"/>
      <c r="WZK249" s="22"/>
      <c r="WZL249" s="22"/>
      <c r="WZM249" s="22"/>
      <c r="WZN249" s="22"/>
      <c r="WZO249" s="22"/>
      <c r="WZP249" s="22"/>
      <c r="WZQ249" s="22"/>
      <c r="WZR249" s="22"/>
      <c r="WZS249" s="22"/>
      <c r="WZT249" s="22"/>
      <c r="WZU249" s="22"/>
      <c r="WZV249" s="22"/>
      <c r="WZW249" s="22"/>
      <c r="WZX249" s="22"/>
      <c r="WZY249" s="22"/>
      <c r="WZZ249" s="22"/>
      <c r="XAA249" s="22"/>
      <c r="XAB249" s="22"/>
      <c r="XAC249" s="22"/>
      <c r="XAD249" s="22"/>
      <c r="XAE249" s="22"/>
      <c r="XAF249" s="22"/>
      <c r="XAG249" s="22"/>
      <c r="XAH249" s="22"/>
      <c r="XAI249" s="22"/>
      <c r="XAJ249" s="22"/>
      <c r="XAK249" s="22"/>
      <c r="XAL249" s="22"/>
      <c r="XAM249" s="22"/>
      <c r="XAN249" s="22"/>
      <c r="XAO249" s="22"/>
      <c r="XAP249" s="22"/>
      <c r="XAQ249" s="22"/>
      <c r="XAR249" s="22"/>
      <c r="XAS249" s="22"/>
      <c r="XAT249" s="22"/>
      <c r="XAU249" s="22"/>
      <c r="XAV249" s="22"/>
      <c r="XAW249" s="22"/>
      <c r="XAX249" s="22"/>
      <c r="XAY249" s="22"/>
      <c r="XAZ249" s="22"/>
      <c r="XBA249" s="22"/>
      <c r="XBB249" s="22"/>
      <c r="XBC249" s="22"/>
      <c r="XBD249" s="22"/>
      <c r="XBE249" s="22"/>
      <c r="XBF249" s="22"/>
      <c r="XBG249" s="22"/>
      <c r="XBH249" s="22"/>
      <c r="XBI249" s="22"/>
      <c r="XBJ249" s="22"/>
      <c r="XBK249" s="22"/>
      <c r="XBL249" s="22"/>
      <c r="XBM249" s="22"/>
      <c r="XBN249" s="22"/>
      <c r="XBO249" s="22"/>
      <c r="XBP249" s="22"/>
      <c r="XBQ249" s="22"/>
      <c r="XBR249" s="22"/>
      <c r="XBS249" s="22"/>
      <c r="XBT249" s="22"/>
      <c r="XBU249" s="22"/>
      <c r="XBV249" s="22"/>
      <c r="XBW249" s="22"/>
      <c r="XBX249" s="22"/>
      <c r="XBY249" s="22"/>
      <c r="XBZ249" s="22"/>
      <c r="XCA249" s="22"/>
      <c r="XCB249" s="22"/>
      <c r="XCC249" s="22"/>
      <c r="XCD249" s="22"/>
      <c r="XCE249" s="22"/>
      <c r="XCF249" s="22"/>
      <c r="XCG249" s="22"/>
      <c r="XCH249" s="22"/>
      <c r="XCI249" s="22"/>
      <c r="XCJ249" s="22"/>
      <c r="XCK249" s="22"/>
      <c r="XCL249" s="22"/>
      <c r="XCM249" s="22"/>
      <c r="XCN249" s="22"/>
      <c r="XCO249" s="22"/>
      <c r="XCP249" s="22"/>
      <c r="XCQ249" s="22"/>
      <c r="XCR249" s="22"/>
      <c r="XCS249" s="22"/>
      <c r="XCT249" s="22"/>
      <c r="XCU249" s="22"/>
      <c r="XCV249" s="22"/>
      <c r="XCW249" s="22"/>
      <c r="XCX249" s="22"/>
      <c r="XCY249" s="22"/>
      <c r="XCZ249" s="22"/>
      <c r="XDA249" s="22"/>
      <c r="XDB249" s="22"/>
      <c r="XDC249" s="22"/>
      <c r="XDD249" s="22"/>
      <c r="XDE249" s="22"/>
      <c r="XDF249" s="22"/>
      <c r="XDG249" s="22"/>
      <c r="XDH249" s="22"/>
      <c r="XDI249" s="22"/>
      <c r="XDJ249" s="22"/>
      <c r="XDK249" s="22"/>
      <c r="XDL249" s="22"/>
      <c r="XDM249" s="22"/>
      <c r="XDN249" s="22"/>
      <c r="XDO249" s="22"/>
      <c r="XDP249" s="22"/>
      <c r="XDQ249" s="22"/>
      <c r="XDR249" s="22"/>
      <c r="XDS249" s="22"/>
      <c r="XDT249" s="22"/>
      <c r="XDU249" s="22"/>
      <c r="XDV249" s="22"/>
      <c r="XDW249" s="22"/>
      <c r="XDX249" s="22"/>
      <c r="XDY249" s="22"/>
      <c r="XDZ249" s="22"/>
      <c r="XEA249" s="22"/>
      <c r="XEB249" s="22"/>
      <c r="XEC249" s="22"/>
      <c r="XED249" s="22"/>
      <c r="XEE249" s="22"/>
      <c r="XEF249" s="22"/>
      <c r="XEG249" s="22"/>
      <c r="XEH249" s="22"/>
      <c r="XEI249" s="22"/>
      <c r="XEJ249" s="22"/>
      <c r="XEK249" s="22"/>
      <c r="XEL249" s="22"/>
      <c r="XEM249" s="22"/>
      <c r="XEN249" s="22"/>
      <c r="XEO249" s="22"/>
      <c r="XEP249" s="22"/>
      <c r="XEQ249" s="22"/>
      <c r="XER249" s="22"/>
      <c r="XES249" s="22"/>
      <c r="XET249" s="22"/>
      <c r="XEU249" s="22"/>
      <c r="XEV249" s="22"/>
      <c r="XEW249" s="22"/>
      <c r="XEX249" s="22"/>
      <c r="XEY249" s="22"/>
      <c r="XEZ249" s="22"/>
      <c r="XFA249" s="22"/>
      <c r="XFB249" s="22"/>
      <c r="XFC249" s="22"/>
      <c r="XFD249" s="22"/>
    </row>
    <row r="250" spans="1:16384">
      <c r="A250" s="17" t="str">
        <f>IF('Deploy Parameters'!J22="n/a","nsx-comp-vm-folder-name@value=","nsx-comp-vm-folder-name@value="&amp;'Deploy Parameters'!J22&amp;"-w01fd-nsx")</f>
        <v>nsx-comp-vm-folder-name@value=lax01-w01fd-nsx</v>
      </c>
    </row>
    <row r="251" spans="1:16384">
      <c r="A251" s="22"/>
    </row>
    <row r="252" spans="1:16384">
      <c r="A252" s="1" t="s">
        <v>185</v>
      </c>
    </row>
    <row r="253" spans="1:16384" ht="16">
      <c r="A253" s="8" t="str">
        <f>IF('Deploy Parameters'!J31="n/a","vds-management-initial-configuration@dvSwitchName=","vds-management-initial-configuration@dvSwitchName="&amp;'Deploy Parameters'!J31)</f>
        <v>vds-management-initial-configuration@dvSwitchName=lax01-m01-vds01</v>
      </c>
    </row>
    <row r="254" spans="1:16384">
      <c r="A254" s="5" t="str">
        <f>IF('Deploy Parameters'!J33="n/a","vds-edge-initial-configuration@dvSwitchName=","vds-edge-initial-configuration@dvSwitchName="&amp;'Deploy Parameters'!J33)</f>
        <v>vds-edge-initial-configuration@dvSwitchName=lax01-w01-vds01</v>
      </c>
    </row>
    <row r="255" spans="1:16384">
      <c r="A255" s="1" t="s">
        <v>280</v>
      </c>
    </row>
    <row r="256" spans="1:16384">
      <c r="A256" s="5" t="str">
        <f>IF('Hosts and Networks'!C8="n/a","vds-management-initial-configuration@dvPortGroups[1].name=","vds-management-initial-configuration@dvPortGroups[1].name="&amp;'Hosts and Networks'!C8)</f>
        <v>vds-management-initial-configuration@dvPortGroups[1].name=lax01-m01-vds01-management</v>
      </c>
    </row>
    <row r="257" spans="1:1">
      <c r="A257" s="5" t="str">
        <f>IF('Hosts and Networks'!C11="n/a","vds-management-initial-configuration@dvPortGroups[2].name=","vds-management-initial-configuration@dvPortGroups[2].name="&amp;'Hosts and Networks'!C11)</f>
        <v>vds-management-initial-configuration@dvPortGroups[2].name=lax01-m01-vds01-vsan</v>
      </c>
    </row>
    <row r="258" spans="1:1">
      <c r="A258" s="5" t="str">
        <f>IF('Hosts and Networks'!C10="n/a","vds-management-initial-configuration@dvPortGroups[3].name=","vds-management-initial-configuration@dvPortGroups[3].name="&amp;'Hosts and Networks'!C10)</f>
        <v>vds-management-initial-configuration@dvPortGroups[3].name=lax01-m01-vds01-vmotion</v>
      </c>
    </row>
    <row r="259" spans="1:1">
      <c r="A259" s="5" t="str">
        <f>IF('Hosts and Networks'!C9="n/a","vds-management-initial-configuration@dvPortGroups[4].name=","vds-management-initial-configuration@dvPortGroups[4].name="&amp;'Hosts and Networks'!C9)</f>
        <v>vds-management-initial-configuration@dvPortGroups[4].name=lax01-m01-vds01-nfs</v>
      </c>
    </row>
    <row r="260" spans="1:1">
      <c r="A260" s="7" t="str">
        <f>IF('Hosts and Networks'!C12="n/a","vds-management-initial-configuration@dvPortGroups[5].name=","vds-management-initial-configuration@dvPortGroups[5].name="&amp;'Hosts and Networks'!C12)</f>
        <v>vds-management-initial-configuration@dvPortGroups[5].name=lax01-m01-vds01-replication</v>
      </c>
    </row>
    <row r="261" spans="1:1">
      <c r="A261" s="5" t="str">
        <f>IF('Hosts and Networks'!C14="n/a","vds-management-initial-configuration@dvPortGroups[6].name=","vds-management-initial-configuration@dvPortGroups[6].name="&amp;'Hosts and Networks'!C14)</f>
        <v>vds-management-initial-configuration@dvPortGroups[6].name=lax01-m01-vds01-uplink01</v>
      </c>
    </row>
    <row r="262" spans="1:1">
      <c r="A262" s="5" t="str">
        <f>IF('Hosts and Networks'!C15="n/a","vds-management-initial-configuration@dvPortGroups[7].name=","vds-management-initial-configuration@dvPortGroups[7].name="&amp;'Hosts and Networks'!C15)</f>
        <v>vds-management-initial-configuration@dvPortGroups[7].name=lax01-m01-vds01-uplink02</v>
      </c>
    </row>
    <row r="263" spans="1:1">
      <c r="A263" s="1" t="s">
        <v>281</v>
      </c>
    </row>
    <row r="264" spans="1:1">
      <c r="A264" s="5" t="str">
        <f>IF('Hosts and Networks'!C19="n/a","vds-edge-initial-configuration@dvPortGroups[0].name=","vds-edge-initial-configuration@dvPortGroups[0].name="&amp;'Hosts and Networks'!C19)</f>
        <v>vds-edge-initial-configuration@dvPortGroups[0].name=lax01-w01-vds01-management</v>
      </c>
    </row>
    <row r="265" spans="1:1">
      <c r="A265" s="5" t="str">
        <f>IF('Hosts and Networks'!C22="n/a","vds-edge-initial-configuration@dvPortGroups[1].name=","vds-edge-initial-configuration@dvPortGroups[1].name="&amp;'Hosts and Networks'!C22)</f>
        <v>vds-edge-initial-configuration@dvPortGroups[1].name=lax01-w01-vds01-vsan</v>
      </c>
    </row>
    <row r="266" spans="1:1">
      <c r="A266" s="5" t="str">
        <f>IF('Hosts and Networks'!C21="n/a","vds-edge-initial-configuration@dvPortGroups[2].name=","vds-edge-initial-configuration@dvPortGroups[2].name="&amp;'Hosts and Networks'!C21)</f>
        <v>vds-edge-initial-configuration@dvPortGroups[2].name=lax01-w01-vds01-vmotion</v>
      </c>
    </row>
    <row r="267" spans="1:1">
      <c r="A267" s="5" t="str">
        <f>IF('Hosts and Networks'!C20="n/a","vds-edge-initial-configuration@dvPortGroups[3].name=","vds-edge-initial-configuration@dvPortGroups[3].name="&amp;'Hosts and Networks'!C20)</f>
        <v>vds-edge-initial-configuration@dvPortGroups[3].name=lax01-w01-vds01-nfs</v>
      </c>
    </row>
    <row r="268" spans="1:1">
      <c r="A268" s="5" t="str">
        <f>IF('Hosts and Networks'!C24="n/a","vds-edge-initial-configuration@dvPortGroups[4].name=","vds-edge-initial-configuration@dvPortGroups[4].name="&amp;'Hosts and Networks'!C24)</f>
        <v>vds-edge-initial-configuration@dvPortGroups[4].name=lax01-w01-vds01-uplink01</v>
      </c>
    </row>
    <row r="269" spans="1:1">
      <c r="A269" s="5" t="str">
        <f>IF('Hosts and Networks'!C25="n/a","vds-edge-initial-configuration@dvPortGroups[5].name=","vds-edge-initial-configuration@dvPortGroups[5].name="&amp;'Hosts and Networks'!C25)</f>
        <v>vds-edge-initial-configuration@dvPortGroups[5].name=lax01-w01-vds01-uplink02</v>
      </c>
    </row>
    <row r="271" spans="1:1">
      <c r="A271" s="1" t="s">
        <v>40</v>
      </c>
    </row>
    <row r="272" spans="1:1">
      <c r="A272" s="5" t="str">
        <f>IF('Hosts and Networks'!E8="n/a","managementNetwork.gateway=","managementNetwork.gateway="&amp;'Hosts and Networks'!E8)</f>
        <v>managementNetwork.gateway=172.17.11.253</v>
      </c>
    </row>
    <row r="273" spans="1:1">
      <c r="A273" s="5" t="str">
        <f>"managementNetwork.primaryDns="&amp;'Deploy Parameters'!F8</f>
        <v>managementNetwork.primaryDns=172.17.11.5</v>
      </c>
    </row>
    <row r="274" spans="1:1">
      <c r="A274" s="5" t="str">
        <f>IF('Deploy Parameters'!F9="n/a","managementNetwork.secondaryDns=","managementNetwork.secondaryDns="&amp;'Deploy Parameters'!F9)</f>
        <v>managementNetwork.secondaryDns=172.17.11.4</v>
      </c>
    </row>
    <row r="275" spans="1:1">
      <c r="A275" s="5" t="str">
        <f>"managementNetwork.searchDomain="&amp;'Deploy Parameters'!J7</f>
        <v>managementNetwork.searchDomain=lax01.rainpole.local</v>
      </c>
    </row>
    <row r="276" spans="1:1">
      <c r="A276" s="5" t="str">
        <f>"managementNetwork.cidrNotation="&amp;'Hosts and Networks'!D8</f>
        <v>managementNetwork.cidrNotation=172.17.11.0/24</v>
      </c>
    </row>
    <row r="278" spans="1:1">
      <c r="A278" s="1" t="s">
        <v>370</v>
      </c>
    </row>
    <row r="279" spans="1:1">
      <c r="A279" s="5" t="str">
        <f>IF('Hosts and Networks'!E12="n/a","# mgmtReplicationNetwork.gateway=","mgmtReplicationNetwork.gateway="&amp;'Hosts and Networks'!E12)</f>
        <v>mgmtReplicationNetwork.gateway=172.17.16.253</v>
      </c>
    </row>
    <row r="280" spans="1:1" s="6" customFormat="1">
      <c r="A280" s="5" t="str">
        <f>IF('Hosts and Networks'!D12="n/a","# mgmtReplicationNetwork.cidrNotation=","mgmtReplicationNetwork.cidrNotation="&amp;'Hosts and Networks'!D12)</f>
        <v>mgmtReplicationNetwork.cidrNotation=172.17.16.0/24</v>
      </c>
    </row>
    <row r="281" spans="1:1">
      <c r="A281" s="6"/>
    </row>
    <row r="282" spans="1:1">
      <c r="A282" s="1" t="s">
        <v>697</v>
      </c>
    </row>
    <row r="283" spans="1:1">
      <c r="A283" s="5" t="str">
        <f>IF('Hosts and Networks'!E19="n/a","edgeNetwork.gateway=","edgeNetwork.gateway="&amp;'Hosts and Networks'!E19)</f>
        <v>edgeNetwork.gateway=172.17.31.253</v>
      </c>
    </row>
    <row r="284" spans="1:1">
      <c r="A284" s="5" t="str">
        <f>"edgeNetwork.primaryDns="&amp;'Deploy Parameters'!F8</f>
        <v>edgeNetwork.primaryDns=172.17.11.5</v>
      </c>
    </row>
    <row r="285" spans="1:1">
      <c r="A285" s="5" t="str">
        <f>IF('Deploy Parameters'!F9="n/a","edgeNetwork.secondaryDns=","edgeNetwork.secondaryDns="&amp;'Deploy Parameters'!F9)</f>
        <v>edgeNetwork.secondaryDns=172.17.11.4</v>
      </c>
    </row>
    <row r="286" spans="1:1">
      <c r="A286" s="5" t="str">
        <f>"edgeNetwork.searchDomain="&amp;'Deploy Parameters'!J7</f>
        <v>edgeNetwork.searchDomain=lax01.rainpole.local</v>
      </c>
    </row>
    <row r="287" spans="1:1">
      <c r="A287" s="5" t="str">
        <f>"edgeNetwork.cidrNotation="&amp;'Hosts and Networks'!D19</f>
        <v>edgeNetwork.cidrNotation=172.17.31.0/24</v>
      </c>
    </row>
    <row r="289" spans="1:1">
      <c r="A289" s="1" t="s">
        <v>194</v>
      </c>
    </row>
    <row r="290" spans="1:1">
      <c r="A290" s="5" t="str">
        <f>IF('Deploy Parameters'!F62="n/a","ftp-host-address@value=","ftp-host-address@value="&amp;'Deploy Parameters'!F62)</f>
        <v>ftp-host-address@value=ftp.lax01.rainpole.local</v>
      </c>
    </row>
    <row r="291" spans="1:1">
      <c r="A291" s="5" t="str">
        <f>IF('Deploy Parameters'!F63="n/a","mgmt-nsx-ftp-backup-directory@value=","mgmt-nsx-ftp-backup-directory@value="&amp;'Deploy Parameters'!F63)</f>
        <v>mgmt-nsx-ftp-backup-directory@value=lax01-m01-NSXBackup</v>
      </c>
    </row>
    <row r="292" spans="1:1">
      <c r="A292" s="5" t="str">
        <f>IF('Deploy Parameters'!F64="n/a","comp-nsx-ftp-backup-directory@value=","comp-nsx-ftp-backup-directory@value="&amp;'Deploy Parameters'!F64)</f>
        <v>comp-nsx-ftp-backup-directory@value=lax01-w01-NSXBackup</v>
      </c>
    </row>
    <row r="293" spans="1:1">
      <c r="A293" s="5" t="str">
        <f>IF('Deploy Parameters'!F65="n/a","ftp-credentials@username=","ftp-credentials@username="&amp;'Deploy Parameters'!F65)</f>
        <v>ftp-credentials@username=administrator</v>
      </c>
    </row>
    <row r="294" spans="1:1">
      <c r="A294" s="5" t="str">
        <f>IF('Deploy Parameters'!F66="n/a","ftp-credentials@password=","ftp-credentials@password="&amp;'Deploy Parameters'!F66)</f>
        <v>ftp-credentials@password=VMware1!</v>
      </c>
    </row>
    <row r="296" spans="1:1">
      <c r="A296" s="1" t="s">
        <v>127</v>
      </c>
    </row>
    <row r="297" spans="1:1">
      <c r="A297" s="1" t="s">
        <v>129</v>
      </c>
    </row>
    <row r="298" spans="1:1">
      <c r="A298" s="5" t="str">
        <f>"vlan-mgmt-management.vlanId="&amp;'Hosts and Networks'!B8</f>
        <v>vlan-mgmt-management.vlanId=1711</v>
      </c>
    </row>
    <row r="299" spans="1:1">
      <c r="A299" s="5" t="str">
        <f>"vlan-edge-management.vlanId="&amp;'Hosts and Networks'!B19</f>
        <v>vlan-edge-management.vlanId=1731</v>
      </c>
    </row>
    <row r="300" spans="1:1">
      <c r="A300" s="1" t="s">
        <v>128</v>
      </c>
    </row>
    <row r="301" spans="1:1">
      <c r="A301" s="5" t="str">
        <f>"vlan-management-vmotion.vlanId="&amp;'Hosts and Networks'!B10</f>
        <v>vlan-management-vmotion.vlanId=1712</v>
      </c>
    </row>
    <row r="302" spans="1:1">
      <c r="A302" s="5" t="str">
        <f>"vlan-edge-vmotion.vlanId="&amp;'Hosts and Networks'!B21</f>
        <v>vlan-edge-vmotion.vlanId=1732</v>
      </c>
    </row>
    <row r="303" spans="1:1">
      <c r="A303" s="5" t="str">
        <f>IF('Hosts and Networks'!B12="n/a","vlan-management-replication.vlanId=","vlan-management-replication.vlanId="&amp;'Hosts and Networks'!B12)</f>
        <v>vlan-management-replication.vlanId=1716</v>
      </c>
    </row>
    <row r="304" spans="1:1">
      <c r="A304" s="1" t="s">
        <v>130</v>
      </c>
    </row>
    <row r="305" spans="1:1">
      <c r="A305" s="5" t="str">
        <f>"vlan-management-vxlan.vlanId="&amp;'Hosts and Networks'!B13</f>
        <v>vlan-management-vxlan.vlanId=1714</v>
      </c>
    </row>
    <row r="306" spans="1:1">
      <c r="A306" s="5" t="str">
        <f>"vlan-edge-vxlan.vlanId="&amp;'Hosts and Networks'!B23</f>
        <v>vlan-edge-vxlan.vlanId=1734</v>
      </c>
    </row>
    <row r="307" spans="1:1">
      <c r="A307" s="1" t="s">
        <v>131</v>
      </c>
    </row>
    <row r="308" spans="1:1">
      <c r="A308" s="5" t="str">
        <f>IF('Hosts and Networks'!B9="n/a","vlan-management-storage.vlanId=","vlan-management-storage.vlanId="&amp;'Hosts and Networks'!B9)</f>
        <v>vlan-management-storage.vlanId=1715</v>
      </c>
    </row>
    <row r="309" spans="1:1">
      <c r="A309" s="5" t="str">
        <f>IF('Hosts and Networks'!B20="n/a","vlan-edge-storage.vlanId=","vlan-edge-storage.vlanId="&amp;'Hosts and Networks'!B20)</f>
        <v>vlan-edge-storage.vlanId=1725</v>
      </c>
    </row>
    <row r="310" spans="1:1">
      <c r="A310" s="1" t="s">
        <v>132</v>
      </c>
    </row>
    <row r="311" spans="1:1">
      <c r="A311" s="5" t="str">
        <f>IF('Hosts and Networks'!B11="n/a","vlan-management-vsan.vlanId=","vlan-management-vsan.vlanId="&amp;'Hosts and Networks'!B11)</f>
        <v>vlan-management-vsan.vlanId=1713</v>
      </c>
    </row>
    <row r="312" spans="1:1">
      <c r="A312" s="5" t="str">
        <f>IF('Hosts and Networks'!B22="n/a","vlan-edge-vsan.vlanId=","vlan-edge-vsan.vlanId="&amp;'Hosts and Networks'!B22)</f>
        <v>vlan-edge-vsan.vlanId=1733</v>
      </c>
    </row>
    <row r="313" spans="1:1">
      <c r="A313" s="1" t="s">
        <v>248</v>
      </c>
    </row>
    <row r="314" spans="1:1">
      <c r="A314" s="5" t="str">
        <f>"vlan-management-uplink-01.vlanId="&amp;'Hosts and Networks'!B14</f>
        <v>vlan-management-uplink-01.vlanId=2714</v>
      </c>
    </row>
    <row r="315" spans="1:1">
      <c r="A315" s="5" t="str">
        <f>"vlan-edge-uplink-01.vlanId="&amp;'Hosts and Networks'!B24</f>
        <v>vlan-edge-uplink-01.vlanId=1735</v>
      </c>
    </row>
    <row r="316" spans="1:1">
      <c r="A316" s="1" t="s">
        <v>249</v>
      </c>
    </row>
    <row r="317" spans="1:1">
      <c r="A317" s="5" t="str">
        <f>"vlan-management-uplink-02.vlanId="&amp;'Hosts and Networks'!B15</f>
        <v>vlan-management-uplink-02.vlanId=2715</v>
      </c>
    </row>
    <row r="318" spans="1:1">
      <c r="A318" s="5" t="str">
        <f>"vlan-edge-uplink-02.vlanId="&amp;'Hosts and Networks'!B25</f>
        <v>vlan-edge-uplink-02.vlanId=2721</v>
      </c>
    </row>
    <row r="320" spans="1:1">
      <c r="A320" s="1" t="s">
        <v>133</v>
      </c>
    </row>
    <row r="321" spans="1:1">
      <c r="A321" s="1" t="s">
        <v>134</v>
      </c>
    </row>
    <row r="322" spans="1:1">
      <c r="A322" s="5" t="str">
        <f>"vlan-mgmt-management-mtu@mtu="&amp;'Hosts and Networks'!F8</f>
        <v>vlan-mgmt-management-mtu@mtu=9000</v>
      </c>
    </row>
    <row r="323" spans="1:1">
      <c r="A323" s="5" t="str">
        <f>"vlan-edge-management-mtu@mtu="&amp;'Hosts and Networks'!F19</f>
        <v>vlan-edge-management-mtu@mtu=9000</v>
      </c>
    </row>
    <row r="324" spans="1:1">
      <c r="A324" s="1" t="s">
        <v>42</v>
      </c>
    </row>
    <row r="325" spans="1:1">
      <c r="A325" s="5" t="str">
        <f>"vlan-management-storage-mtu@mtu="&amp;'Hosts and Networks'!F9</f>
        <v>vlan-management-storage-mtu@mtu=9000</v>
      </c>
    </row>
    <row r="326" spans="1:1">
      <c r="A326" s="5" t="str">
        <f>"vlan-edge-storage-mtu@mtu="&amp;'Hosts and Networks'!F20</f>
        <v>vlan-edge-storage-mtu@mtu=9000</v>
      </c>
    </row>
    <row r="327" spans="1:1">
      <c r="A327" s="12" t="str">
        <f>"vds-mgmt-mtu@mtu="&amp;'Deploy Parameters'!J32</f>
        <v>vds-mgmt-mtu@mtu=9000</v>
      </c>
    </row>
    <row r="328" spans="1:1" s="2" customFormat="1">
      <c r="A328" s="12" t="str">
        <f>"vds-edge-mtu@mtu="&amp;'Deploy Parameters'!J34</f>
        <v>vds-edge-mtu@mtu=9000</v>
      </c>
    </row>
    <row r="329" spans="1:1" s="2" customFormat="1">
      <c r="A329" s="2" t="s">
        <v>698</v>
      </c>
    </row>
    <row r="330" spans="1:1" s="2" customFormat="1">
      <c r="A330" s="4" t="str">
        <f>"vlan-management-vmotion-mtu@mtu="&amp;'Hosts and Networks'!F10</f>
        <v>vlan-management-vmotion-mtu@mtu=9000</v>
      </c>
    </row>
    <row r="331" spans="1:1" s="2" customFormat="1">
      <c r="A331" s="4" t="str">
        <f>"vlan-edge-vmotion-mtu@mtu="&amp;'Hosts and Networks'!F21</f>
        <v>vlan-edge-vmotion-mtu@mtu=9000</v>
      </c>
    </row>
    <row r="332" spans="1:1" s="2" customFormat="1">
      <c r="A332" s="2" t="s">
        <v>240</v>
      </c>
    </row>
    <row r="333" spans="1:1" s="2" customFormat="1">
      <c r="A333" s="4" t="str">
        <f>IF('Hosts and Networks'!F11="n/a","vlan-management-vsan-mtu@mtu=","vlan-management-vsan-mtu@mtu="&amp;'Hosts and Networks'!F11)</f>
        <v>vlan-management-vsan-mtu@mtu=9000</v>
      </c>
    </row>
    <row r="334" spans="1:1" s="2" customFormat="1">
      <c r="A334" s="4" t="str">
        <f>IF('Hosts and Networks'!F22="n/a","vlan-edge-vsan-mtu@mtu=","vlan-edge-vsan-mtu@mtu="&amp;'Hosts and Networks'!F22)</f>
        <v>vlan-edge-vsan-mtu@mtu=9000</v>
      </c>
    </row>
    <row r="335" spans="1:1" s="2" customFormat="1">
      <c r="A335" s="2" t="s">
        <v>245</v>
      </c>
    </row>
    <row r="336" spans="1:1" s="6" customFormat="1">
      <c r="A336" s="4" t="str">
        <f>"vlan-management-replication-mtu@mtu="&amp;'Hosts and Networks'!F12</f>
        <v>vlan-management-replication-mtu@mtu=9000</v>
      </c>
    </row>
    <row r="337" spans="1:1">
      <c r="A337" s="6"/>
    </row>
    <row r="338" spans="1:1">
      <c r="A338" s="1" t="s">
        <v>41</v>
      </c>
    </row>
    <row r="339" spans="1:1">
      <c r="A339" s="5" t="str">
        <f>"vcenterManagementIp.address="&amp;'Deploy Parameters'!G26</f>
        <v>vcenterManagementIp.address=172.17.11.62</v>
      </c>
    </row>
    <row r="340" spans="1:1">
      <c r="A340" s="5" t="str">
        <f>"vcenterManagementPscIp1.address="&amp;'Deploy Parameters'!G27</f>
        <v>vcenterManagementPscIp1.address=172.17.11.61</v>
      </c>
    </row>
    <row r="341" spans="1:1">
      <c r="A341" s="5" t="str">
        <f>"vcenterComputeIp.address="&amp;'Deploy Parameters'!G29</f>
        <v>vcenterComputeIp.address=172.17.11.64</v>
      </c>
    </row>
    <row r="342" spans="1:1">
      <c r="A342" s="5" t="str">
        <f>"vcenterComputePscIp1.address="&amp;'Deploy Parameters'!G30</f>
        <v>vcenterComputePscIp1.address=172.17.11.63</v>
      </c>
    </row>
    <row r="343" spans="1:1">
      <c r="A343" s="5" t="str">
        <f>"nsxManagementIp.address="&amp;'Deploy Parameters'!G58</f>
        <v>nsxManagementIp.address=172.17.11.65</v>
      </c>
    </row>
    <row r="344" spans="1:1">
      <c r="A344" s="5" t="str">
        <f>"nsxComputeIp.address="&amp;'Deploy Parameters'!K58</f>
        <v>nsxComputeIp.address=172.17.11.66</v>
      </c>
    </row>
    <row r="345" spans="1:1">
      <c r="A345" s="6"/>
    </row>
    <row r="346" spans="1:1">
      <c r="A346" s="1" t="s">
        <v>121</v>
      </c>
    </row>
    <row r="347" spans="1:1">
      <c r="A347" s="5" t="str">
        <f>"vcenter-mgmt-deployment-vmname="&amp;'Deploy Parameters'!F26</f>
        <v>vcenter-mgmt-deployment-vmname=lax01m01vc01</v>
      </c>
    </row>
    <row r="348" spans="1:1">
      <c r="A348" s="5" t="str">
        <f>"psc-vcenter-mgmt-deployment-vmname="&amp;'Deploy Parameters'!F27</f>
        <v>psc-vcenter-mgmt-deployment-vmname=lax01m01psc01</v>
      </c>
    </row>
    <row r="349" spans="1:1">
      <c r="A349" s="5" t="str">
        <f>"nsx-mgmt-deployment-vmname="&amp;'Deploy Parameters'!F58</f>
        <v>nsx-mgmt-deployment-vmname=lax01m01nsx01</v>
      </c>
    </row>
    <row r="350" spans="1:1">
      <c r="A350" s="5" t="str">
        <f>"vcenter-compute-deployment-vmname="&amp;'Deploy Parameters'!F29</f>
        <v>vcenter-compute-deployment-vmname=lax01w01vc01</v>
      </c>
    </row>
    <row r="351" spans="1:1">
      <c r="A351" s="5" t="str">
        <f>"psc-vcenter-compute-deployment-vmname="&amp;'Deploy Parameters'!F30</f>
        <v>psc-vcenter-compute-deployment-vmname=lax01w01psc01</v>
      </c>
    </row>
    <row r="352" spans="1:1" s="6" customFormat="1">
      <c r="A352" s="5" t="str">
        <f>"nsx-compute-deployment-vmname="&amp;'Deploy Parameters'!J58</f>
        <v>nsx-compute-deployment-vmname=lax01w01nsx01</v>
      </c>
    </row>
    <row r="353" spans="1:1">
      <c r="A353" s="6"/>
    </row>
    <row r="354" spans="1:1">
      <c r="A354" s="1" t="s">
        <v>355</v>
      </c>
    </row>
    <row r="355" spans="1:1">
      <c r="A355" s="5" t="str">
        <f>IF('Hosts and Networks'!E23="n/a","vtepCollapsedEdgeComputeNetwork.gateway=","vtepCollapsedEdgeComputeNetwork.gateway="&amp;'Hosts and Networks'!E23)</f>
        <v>vtepCollapsedEdgeComputeNetwork.gateway=172.17.34.253</v>
      </c>
    </row>
    <row r="356" spans="1:1">
      <c r="A356" s="5" t="str">
        <f>IF('Deploy Parameters'!F8="n/a","vtepCollapsedEdgeComputeNetwork.primaryDns=","vtepCollapsedEdgeComputeNetwork.primaryDns="&amp;'Deploy Parameters'!F8)</f>
        <v>vtepCollapsedEdgeComputeNetwork.primaryDns=172.17.11.5</v>
      </c>
    </row>
    <row r="357" spans="1:1">
      <c r="A357" s="5" t="str">
        <f>IF('Deploy Parameters'!F9="n/a","vtepCollapsedEdgeComputeNetwork.secondaryDns=","vtepCollapsedEdgeComputeNetwork.secondaryDns="&amp;'Deploy Parameters'!F9)</f>
        <v>vtepCollapsedEdgeComputeNetwork.secondaryDns=172.17.11.4</v>
      </c>
    </row>
    <row r="358" spans="1:1">
      <c r="A358" s="5" t="str">
        <f>IF('Deploy Parameters'!J7="n/a","vtepCollapsedEdgeComputeNetwork.searchDomain=","vtepCollapsedEdgeComputeNetwork.searchDomain="&amp;'Deploy Parameters'!J7)</f>
        <v>vtepCollapsedEdgeComputeNetwork.searchDomain=lax01.rainpole.local</v>
      </c>
    </row>
    <row r="359" spans="1:1">
      <c r="A359" s="5" t="str">
        <f>IF('Hosts and Networks'!D23="n/a","vtepCollapsedEdgeComputeNetwork.cidrNotation=","vtepCollapsedEdgeComputeNetwork.cidrNotation="&amp;'Hosts and Networks'!D23)</f>
        <v>vtepCollapsedEdgeComputeNetwork.cidrNotation=172.17.34.0/24</v>
      </c>
    </row>
    <row r="361" spans="1:1">
      <c r="A361" s="1" t="s">
        <v>356</v>
      </c>
    </row>
    <row r="362" spans="1:1">
      <c r="A362" s="5" t="str">
        <f>IF('Deploy Parameters'!K59="n/a","nsx-collapsed-edge-compute-vtep-ip-pool.startAddress=","nsx-collapsed-edge-compute-vtep-ip-pool.startAddress="&amp;'Deploy Parameters'!K59)</f>
        <v>nsx-collapsed-edge-compute-vtep-ip-pool.startAddress=172.17.34.101</v>
      </c>
    </row>
    <row r="363" spans="1:1">
      <c r="A363" s="5" t="str">
        <f>IF('Deploy Parameters'!K60="n/a","nsx-collapsed-edge-compute-vtep-ip-pool.endAddress=","nsx-collapsed-edge-compute-vtep-ip-pool.endAddress="&amp;'Deploy Parameters'!K60)</f>
        <v>nsx-collapsed-edge-compute-vtep-ip-pool.endAddress=172.17.34.116</v>
      </c>
    </row>
    <row r="365" spans="1:1">
      <c r="A365" s="1" t="s">
        <v>566</v>
      </c>
    </row>
    <row r="366" spans="1:1">
      <c r="A366" s="5" t="str">
        <f>"sddc-edge-resource-pool@resourcePoolName="&amp;'Deploy Parameters'!J22&amp;"-w01rp-sddc-edge"</f>
        <v>sddc-edge-resource-pool@resourcePoolName=lax01-w01rp-sddc-edge</v>
      </c>
    </row>
    <row r="367" spans="1:1">
      <c r="A367" s="5" t="str">
        <f>"user-edge-resource-pool@resourcePoolName="&amp;'Deploy Parameters'!J22&amp;"-w01rp-user-edge"</f>
        <v>user-edge-resource-pool@resourcePoolName=lax01-w01rp-user-edge</v>
      </c>
    </row>
    <row r="368" spans="1:1">
      <c r="A368" s="5" t="str">
        <f>"user-vm-resource-pool@resourcePoolName="&amp;'Deploy Parameters'!J22&amp;"-w01rp-vm-edge"</f>
        <v>user-vm-resource-pool@resourcePoolName=lax01-w01rp-vm-edge</v>
      </c>
    </row>
    <row r="370" spans="1:1">
      <c r="A370" s="1" t="s">
        <v>334</v>
      </c>
    </row>
    <row r="371" spans="1:1">
      <c r="A371" s="5" t="str">
        <f>"nsx-edge-cli-credentials@password="&amp;'Deploy Parameters'!F70</f>
        <v>nsx-edge-cli-credentials@password=VMware123456!</v>
      </c>
    </row>
    <row r="373" spans="1:1">
      <c r="A373" s="1" t="s">
        <v>267</v>
      </c>
    </row>
    <row r="374" spans="1:1">
      <c r="A374" s="5" t="str">
        <f>"region-specific-app-mgmt-logical-switch@name="&amp;'Deploy Parameters'!J62</f>
        <v>region-specific-app-mgmt-logical-switch@name=Mgmt-RegionB01-VXLAN</v>
      </c>
    </row>
    <row r="375" spans="1:1">
      <c r="A375" s="5" t="str">
        <f>"regionSpecificNetwork.gateway="&amp;'Deploy Parameters'!J63</f>
        <v>regionSpecificNetwork.gateway=192.168.32.1</v>
      </c>
    </row>
    <row r="376" spans="1:1">
      <c r="A376" s="5" t="str">
        <f>"regionSpecificNetwork.cidrNotation="&amp;'Deploy Parameters'!K63</f>
        <v>regionSpecificNetwork.cidrNotation=192.168.32.0/24</v>
      </c>
    </row>
    <row r="377" spans="1:1">
      <c r="A377" s="5" t="str">
        <f>IF('Deploy Parameters'!J64="n/a","regionSpecificNetwork.searchDomain=","regionSpecificNetwork.searchDomain="&amp;'Deploy Parameters'!J64)</f>
        <v>regionSpecificNetwork.searchDomain=lax01.rainpole.local</v>
      </c>
    </row>
    <row r="378" spans="1:1">
      <c r="A378" s="5" t="str">
        <f>IF('Deploy Parameters'!J65="n/a","regionSpecificNetwork.domain=","regionSpecificNetwork.domain="&amp;'Deploy Parameters'!J65)</f>
        <v>regionSpecificNetwork.domain=lax01.rainpole.local</v>
      </c>
    </row>
    <row r="379" spans="1:1">
      <c r="A379" s="5" t="str">
        <f>"xRegionNetwork.gateway="&amp;'Deploy Parameters'!J67</f>
        <v>xRegionNetwork.gateway=192.168.11.1</v>
      </c>
    </row>
    <row r="380" spans="1:1">
      <c r="A380" s="5" t="str">
        <f>"xRegionNetwork.cidrNotation="&amp;'Deploy Parameters'!K67</f>
        <v>xRegionNetwork.cidrNotation=192.168.11.0/24</v>
      </c>
    </row>
    <row r="381" spans="1:1">
      <c r="A381" s="5" t="str">
        <f>IF('Deploy Parameters'!J68="n/a","xRegionNetwork.searchDomain=","xRegionNetwork.searchDomain="&amp;'Deploy Parameters'!J68)</f>
        <v>xRegionNetwork.searchDomain=lax01.rainpole.local</v>
      </c>
    </row>
    <row r="382" spans="1:1">
      <c r="A382" s="5" t="str">
        <f>IF('Deploy Parameters'!J69="n/a","xRegionNetwork.domain=","xRegionNetwork.domain="&amp;'Deploy Parameters'!J69)</f>
        <v>xRegionNetwork.domain=lax01.rainpole.local</v>
      </c>
    </row>
    <row r="383" spans="1:1">
      <c r="A383" s="5" t="str">
        <f>"oneArmLoadBalancerPrimaryIp.address="&amp;'Deploy Parameters'!K70</f>
        <v>oneArmLoadBalancerPrimaryIp.address=192.168.11.2</v>
      </c>
    </row>
    <row r="384" spans="1:1">
      <c r="A384" s="1" t="s">
        <v>326</v>
      </c>
    </row>
    <row r="385" spans="1:1">
      <c r="A385" s="5" t="str">
        <f>IF('Deploy Parameters'!F69="n/a","esg-udlr-mtu@mtu=","esg-udlr-mtu@mtu="&amp;'Deploy Parameters'!F69)</f>
        <v>esg-udlr-mtu@mtu=9000</v>
      </c>
    </row>
    <row r="387" spans="1:1">
      <c r="A387" s="1" t="s">
        <v>250</v>
      </c>
    </row>
    <row r="388" spans="1:1">
      <c r="A388" s="5" t="str">
        <f>"mgmtUplink01Network.cidrNotation="&amp;'Hosts and Networks'!D14</f>
        <v>mgmtUplink01Network.cidrNotation=172.27.14.0/24</v>
      </c>
    </row>
    <row r="389" spans="1:1">
      <c r="A389" s="5" t="str">
        <f>"mgmtUplink01Network.gateway="&amp;'Hosts and Networks'!E14</f>
        <v>mgmtUplink01Network.gateway=172.27.14.253</v>
      </c>
    </row>
    <row r="390" spans="1:1">
      <c r="A390" s="5" t="str">
        <f>"mgmtUplink02Network.cidrNotation="&amp;'Hosts and Networks'!D15</f>
        <v>mgmtUplink02Network.cidrNotation=172.27.15.0/24</v>
      </c>
    </row>
    <row r="391" spans="1:1">
      <c r="A391" s="5" t="str">
        <f>"mgmtUplink02Network.gateway="&amp;'Hosts and Networks'!E15</f>
        <v>mgmtUplink02Network.gateway=172.27.15.253</v>
      </c>
    </row>
    <row r="392" spans="1:1">
      <c r="A392" s="7" t="str">
        <f>"esg-01-mgmt-edge-device-creation-name@value="&amp;'Deploy Parameters'!F81</f>
        <v>esg-01-mgmt-edge-device-creation-name@value=lax01m01esg01</v>
      </c>
    </row>
    <row r="393" spans="1:1">
      <c r="A393" s="5" t="str">
        <f>"mgmtEsg01Uplink01PrimaryIp.address="&amp;'Deploy Parameters'!F82</f>
        <v>mgmtEsg01Uplink01PrimaryIp.address=172.27.14.2</v>
      </c>
    </row>
    <row r="394" spans="1:1">
      <c r="A394" s="5" t="str">
        <f>"mgmtEsg01Uplink02PrimaryIp.address="&amp;'Deploy Parameters'!F83</f>
        <v>mgmtEsg01Uplink02PrimaryIp.address=172.27.15.3</v>
      </c>
    </row>
    <row r="395" spans="1:1">
      <c r="A395" s="7" t="str">
        <f>"esg-02-mgmt-edge-device-creation-name@value="&amp;'Deploy Parameters'!F85</f>
        <v>esg-02-mgmt-edge-device-creation-name@value=lax01m01esg02</v>
      </c>
    </row>
    <row r="396" spans="1:1">
      <c r="A396" s="5" t="str">
        <f>"mgmtEsg02Uplink01PrimaryIp.address="&amp;'Deploy Parameters'!F86</f>
        <v>mgmtEsg02Uplink01PrimaryIp.address=172.27.14.3</v>
      </c>
    </row>
    <row r="397" spans="1:1">
      <c r="A397" s="5" t="str">
        <f>"mgmtEsg02Uplink02PrimaryIp.address="&amp;'Deploy Parameters'!F87</f>
        <v>mgmtEsg02Uplink02PrimaryIp.address=172.27.15.2</v>
      </c>
    </row>
    <row r="398" spans="1:1">
      <c r="A398" s="5" t="str">
        <f>"mgmtTor01Uplink01PrimaryIp.address="&amp;'Deploy Parameters'!F89</f>
        <v>mgmtTor01Uplink01PrimaryIp.address=172.27.14.1</v>
      </c>
    </row>
    <row r="399" spans="1:1">
      <c r="A399" s="5" t="str">
        <f>"mgmtTor02Uplink02PrimaryIp.address="&amp;'Deploy Parameters'!F92</f>
        <v>mgmtTor02Uplink02PrimaryIp.address=172.27.15.1</v>
      </c>
    </row>
    <row r="400" spans="1:1">
      <c r="A400" s="7" t="str">
        <f>"mgmt-load-balancer-creation-name@value="&amp;'Deploy Parameters'!J71</f>
        <v>mgmt-load-balancer-creation-name@value=lax01m01lb01</v>
      </c>
    </row>
    <row r="402" spans="1:1">
      <c r="A402" s="1" t="s">
        <v>265</v>
      </c>
    </row>
    <row r="403" spans="1:1">
      <c r="A403" s="5" t="str">
        <f>"mgmtEsg01UdlrPrimaryIp.address="&amp;'Deploy Parameters'!F97</f>
        <v>mgmtEsg01UdlrPrimaryIp.address=192.168.10.50</v>
      </c>
    </row>
    <row r="404" spans="1:1">
      <c r="A404" s="5" t="str">
        <f>"mgmtEsg02UdlrPrimaryIp.address="&amp;'Deploy Parameters'!F98</f>
        <v>mgmtEsg02UdlrPrimaryIp.address=192.168.10.51</v>
      </c>
    </row>
    <row r="405" spans="1:1">
      <c r="A405" s="5" t="str">
        <f>"mgmtUdlrNetwork.cidrNotation="&amp;'Deploy Parameters'!F101</f>
        <v>mgmtUdlrNetwork.cidrNotation=192.168.10.0/24</v>
      </c>
    </row>
    <row r="406" spans="1:1">
      <c r="A406" s="5" t="str">
        <f>IF('Deploy Parameters'!F99="n/a","mgmtUdlrForwardingIp.address=","mgmtUdlrForwardingIp.address="&amp;'Deploy Parameters'!F99)</f>
        <v>mgmtUdlrForwardingIp.address=192.168.10.3</v>
      </c>
    </row>
    <row r="407" spans="1:1">
      <c r="A407" s="5" t="str">
        <f>IF('Deploy Parameters'!F100="n/a","mgmtUdlrProtocolIp.address=","mgmtUdlrProtocolIp.address="&amp;'Deploy Parameters'!F100)</f>
        <v>mgmtUdlrProtocolIp.address=192.168.10.4</v>
      </c>
    </row>
    <row r="409" spans="1:1">
      <c r="A409" s="1" t="s">
        <v>251</v>
      </c>
    </row>
    <row r="410" spans="1:1">
      <c r="A410" s="5" t="str">
        <f>"edgeUplink01Network.cidrNotation="&amp;'Hosts and Networks'!D24</f>
        <v>edgeUplink01Network.cidrNotation=172.17.35.0/24</v>
      </c>
    </row>
    <row r="411" spans="1:1">
      <c r="A411" s="5" t="str">
        <f>"edgeUplink01Network.gateway="&amp;'Hosts and Networks'!E24</f>
        <v>edgeUplink01Network.gateway=172.17.35.253</v>
      </c>
    </row>
    <row r="412" spans="1:1">
      <c r="A412" s="5" t="str">
        <f>"edgeUplink02Network.cidrNotation="&amp;'Hosts and Networks'!D25</f>
        <v>edgeUplink02Network.cidrNotation=172.27.21.0/24</v>
      </c>
    </row>
    <row r="413" spans="1:1">
      <c r="A413" s="5" t="str">
        <f>"edgeUplink02Network.gateway="&amp;'Hosts and Networks'!E25</f>
        <v>edgeUplink02Network.gateway=172.27.21.253</v>
      </c>
    </row>
    <row r="414" spans="1:1">
      <c r="A414" s="7" t="str">
        <f>"esg-01-compute-edge-device-creation-name@value="&amp;'Deploy Parameters'!J81</f>
        <v>esg-01-compute-edge-device-creation-name@value=lax01w01esg01</v>
      </c>
    </row>
    <row r="415" spans="1:1">
      <c r="A415" s="5" t="str">
        <f>"edgeEsg01Uplink01PrimaryIp.address="&amp;'Deploy Parameters'!J82</f>
        <v>edgeEsg01Uplink01PrimaryIp.address=172.17.35.2</v>
      </c>
    </row>
    <row r="416" spans="1:1">
      <c r="A416" s="5" t="str">
        <f>"edgeEsg01Uplink02PrimaryIp.address="&amp;'Deploy Parameters'!J83</f>
        <v>edgeEsg01Uplink02PrimaryIp.address=172.27.21.3</v>
      </c>
    </row>
    <row r="417" spans="1:1">
      <c r="A417" s="7" t="str">
        <f>"esg-02-compute-edge-device-creation-name@value="&amp;'Deploy Parameters'!J85</f>
        <v>esg-02-compute-edge-device-creation-name@value=lax01w01esg02</v>
      </c>
    </row>
    <row r="418" spans="1:1">
      <c r="A418" s="5" t="str">
        <f>"edgeEsg02Uplink01PrimaryIp.address="&amp;'Deploy Parameters'!J86</f>
        <v>edgeEsg02Uplink01PrimaryIp.address=172.17.35.3</v>
      </c>
    </row>
    <row r="419" spans="1:1">
      <c r="A419" s="5" t="str">
        <f>"edgeEsg02Uplink02PrimaryIp.address="&amp;'Deploy Parameters'!J87</f>
        <v>edgeEsg02Uplink02PrimaryIp.address=172.27.21.2</v>
      </c>
    </row>
    <row r="420" spans="1:1">
      <c r="A420" s="5" t="str">
        <f>"edgeTor01Uplink01PrimaryIp.address="&amp;'Deploy Parameters'!J89</f>
        <v>edgeTor01Uplink01PrimaryIp.address=172.17.35.1</v>
      </c>
    </row>
    <row r="421" spans="1:1">
      <c r="A421" s="5" t="str">
        <f>"edgeTor02Uplink02PrimaryIp.address="&amp;'Deploy Parameters'!J92</f>
        <v>edgeTor02Uplink02PrimaryIp.address=172.27.21.1</v>
      </c>
    </row>
    <row r="423" spans="1:1">
      <c r="A423" s="1" t="s">
        <v>266</v>
      </c>
    </row>
    <row r="424" spans="1:1">
      <c r="A424" s="5" t="str">
        <f>"edgeEsg01UdlrPrimaryIp.address="&amp;'Deploy Parameters'!J97</f>
        <v>edgeEsg01UdlrPrimaryIp.address=192.168.100.50</v>
      </c>
    </row>
    <row r="425" spans="1:1">
      <c r="A425" s="5" t="str">
        <f>"edgeEsg02UdlrPrimaryIp.address="&amp;'Deploy Parameters'!J98</f>
        <v>edgeEsg02UdlrPrimaryIp.address=192.168.100.51</v>
      </c>
    </row>
    <row r="426" spans="1:1">
      <c r="A426" s="5" t="str">
        <f>"edgeUdlrNetwork.cidrNotation="&amp;'Deploy Parameters'!J101</f>
        <v>edgeUdlrNetwork.cidrNotation=192.168.100.0/24</v>
      </c>
    </row>
    <row r="427" spans="1:1">
      <c r="A427" s="5" t="str">
        <f>IF('Deploy Parameters'!J99="n/a","edgeUdlrForwardingIp.address=","edgeUdlrForwardingIp.address="&amp;'Deploy Parameters'!J99)</f>
        <v>edgeUdlrForwardingIp.address=192.168.100.3</v>
      </c>
    </row>
    <row r="428" spans="1:1">
      <c r="A428" s="5" t="str">
        <f>IF('Deploy Parameters'!J100="n/a","edgeUdlrProtocolIp.address=","edgeUdlrProtocolIp.address="&amp;'Deploy Parameters'!J100)</f>
        <v>edgeUdlrProtocolIp.address=192.168.100.4</v>
      </c>
    </row>
    <row r="430" spans="1:1">
      <c r="A430" s="1" t="s">
        <v>514</v>
      </c>
    </row>
    <row r="431" spans="1:1">
      <c r="A431" s="5" t="str">
        <f>IF('Deploy Parameters'!J103="n/a","compute-dlr-configuration@name=","compute-dlr-configuration@name="&amp;'Deploy Parameters'!J103)</f>
        <v>compute-dlr-configuration@name=lax01w01dlr01</v>
      </c>
    </row>
    <row r="432" spans="1:1">
      <c r="A432" s="5" t="str">
        <f>IF('Deploy Parameters'!J104="n/a","computeEsg01GlobalTransitPrimaryIp@address=","computeEsg01GlobalTransitPrimaryIp@address="&amp;'Deploy Parameters'!J104)</f>
        <v>computeEsg01GlobalTransitPrimaryIp@address=192.168.102.1</v>
      </c>
    </row>
    <row r="433" spans="1:1">
      <c r="A433" s="5" t="str">
        <f>IF('Deploy Parameters'!J105="n/a","computeEsg02GlobalTransitPrimaryIp@address=","computeEsg02GlobalTransitPrimaryIp@address="&amp;'Deploy Parameters'!J105)</f>
        <v>computeEsg02GlobalTransitPrimaryIp@address=192.168.102.2</v>
      </c>
    </row>
    <row r="434" spans="1:1">
      <c r="A434" s="5" t="str">
        <f>IF('Deploy Parameters'!J106="n/a","computeDlrForwardingIp@address=","computeDlrForwardingIp@address="&amp;'Deploy Parameters'!J106)</f>
        <v>computeDlrForwardingIp@address=192.168.102.3</v>
      </c>
    </row>
    <row r="435" spans="1:1">
      <c r="A435" s="5" t="str">
        <f>IF('Deploy Parameters'!J107="n/a","computeDlrProtocolIp@address=","computeDlrProtocolIp@address="&amp;'Deploy Parameters'!J107)</f>
        <v>computeDlrProtocolIp@address=192.168.102.4</v>
      </c>
    </row>
    <row r="436" spans="1:1">
      <c r="A436" s="5" t="str">
        <f>IF('Deploy Parameters'!J108="n/a","computeDlrNetwork@cidrNotation=","computeDlrNetwork@cidrNotation="&amp;'Deploy Parameters'!J108)</f>
        <v>computeDlrNetwork@cidrNotation=192.168.102.0/24</v>
      </c>
    </row>
    <row r="437" spans="1:1">
      <c r="A437" s="6"/>
    </row>
    <row r="438" spans="1:1">
      <c r="A438" s="1" t="s">
        <v>338</v>
      </c>
    </row>
    <row r="439" spans="1:1">
      <c r="A439" s="5" t="str">
        <f>IF('Deploy Parameters'!F79="n/a","esg-udlr-bgp-neighbour-password@value=","esg-udlr-bgp-neighbour-password@value="&amp;'Deploy Parameters'!F79)</f>
        <v>esg-udlr-bgp-neighbour-password@value=VMware1!</v>
      </c>
    </row>
    <row r="440" spans="1:1">
      <c r="A440" s="1" t="s">
        <v>339</v>
      </c>
    </row>
    <row r="441" spans="1:1">
      <c r="A441" s="5" t="str">
        <f>IF('Deploy Parameters'!F91="n/a","mgmt-tor01-bgp-neighbour-password@value=","mgmt-tor01-bgp-neighbour-password@value="&amp;'Deploy Parameters'!F91)</f>
        <v>mgmt-tor01-bgp-neighbour-password@value=VMware1!</v>
      </c>
    </row>
    <row r="442" spans="1:1">
      <c r="A442" s="1" t="s">
        <v>340</v>
      </c>
    </row>
    <row r="443" spans="1:1">
      <c r="A443" s="5" t="str">
        <f>IF('Deploy Parameters'!F94="n/a","mgmt-tor02-bgp-neighbour-password@value=","mgmt-tor02-bgp-neighbour-password@value="&amp;'Deploy Parameters'!F94)</f>
        <v>mgmt-tor02-bgp-neighbour-password@value=VMware1!</v>
      </c>
    </row>
    <row r="444" spans="1:1">
      <c r="A444" s="1" t="s">
        <v>1198</v>
      </c>
    </row>
    <row r="445" spans="1:1">
      <c r="A445" s="5" t="str">
        <f>IF('Deploy Parameters'!J79="n/a","edge-esg-udlr-bgp-neighbour-password@value=","edge-esg-udlr-bgp-neighbour-password@value="&amp;'Deploy Parameters'!J79)</f>
        <v>edge-esg-udlr-bgp-neighbour-password@value=VMware1!</v>
      </c>
    </row>
    <row r="446" spans="1:1">
      <c r="A446" s="1" t="s">
        <v>341</v>
      </c>
    </row>
    <row r="447" spans="1:1">
      <c r="A447" s="5" t="str">
        <f>IF('Deploy Parameters'!J91="n/a","edge-tor01-bgp-neighbour-password@value=","edge-tor01-bgp-neighbour-password@value="&amp;'Deploy Parameters'!J91)</f>
        <v>edge-tor01-bgp-neighbour-password@value=VMware1!</v>
      </c>
    </row>
    <row r="448" spans="1:1">
      <c r="A448" s="1" t="s">
        <v>342</v>
      </c>
    </row>
    <row r="449" spans="1:1">
      <c r="A449" s="5" t="str">
        <f>IF('Deploy Parameters'!J94="n/a","edge-tor02-bgp-neighbour-password@value=","edge-tor02-bgp-neighbour-password@value="&amp;'Deploy Parameters'!J94)</f>
        <v>edge-tor02-bgp-neighbour-password@value=VMware1!</v>
      </c>
    </row>
    <row r="451" spans="1:1">
      <c r="A451" s="1" t="s">
        <v>343</v>
      </c>
    </row>
    <row r="452" spans="1:1">
      <c r="A452" s="5" t="str">
        <f>"mgmt-tor01-autonomous-system@id="&amp;'Deploy Parameters'!F90</f>
        <v>mgmt-tor01-autonomous-system@id=65002</v>
      </c>
    </row>
    <row r="453" spans="1:1">
      <c r="A453" s="1" t="s">
        <v>344</v>
      </c>
    </row>
    <row r="454" spans="1:1">
      <c r="A454" s="5" t="str">
        <f>"mgmt-tor02-autonomous-system@id="&amp;'Deploy Parameters'!F93</f>
        <v>mgmt-tor02-autonomous-system@id=65002</v>
      </c>
    </row>
    <row r="455" spans="1:1">
      <c r="A455" s="1" t="s">
        <v>345</v>
      </c>
    </row>
    <row r="456" spans="1:1">
      <c r="A456" s="5" t="str">
        <f>"mgmt-esg-udlr-autonomous-system@id="&amp;'Deploy Parameters'!F78</f>
        <v>mgmt-esg-udlr-autonomous-system@id=65003</v>
      </c>
    </row>
    <row r="457" spans="1:1">
      <c r="A457" s="1" t="s">
        <v>346</v>
      </c>
    </row>
    <row r="458" spans="1:1">
      <c r="A458" s="5" t="str">
        <f>"edge-tor01-autonomous-system@id="&amp;'Deploy Parameters'!J90</f>
        <v>edge-tor01-autonomous-system@id=65002</v>
      </c>
    </row>
    <row r="459" spans="1:1">
      <c r="A459" s="1" t="s">
        <v>347</v>
      </c>
    </row>
    <row r="460" spans="1:1">
      <c r="A460" s="5" t="str">
        <f>"edge-tor02-autonomous-system@id="&amp;'Deploy Parameters'!J93</f>
        <v>edge-tor02-autonomous-system@id=65002</v>
      </c>
    </row>
    <row r="461" spans="1:1">
      <c r="A461" s="1" t="s">
        <v>348</v>
      </c>
    </row>
    <row r="462" spans="1:1">
      <c r="A462" s="5" t="str">
        <f>"edge-esg-udlr-autonomous-system@id="&amp;'Deploy Parameters'!J78</f>
        <v>edge-esg-udlr-autonomous-system@id=65000</v>
      </c>
    </row>
    <row r="464" spans="1:1">
      <c r="A464" s="19" t="s">
        <v>485</v>
      </c>
    </row>
    <row r="465" spans="1:1">
      <c r="A465" s="20" t="str">
        <f>IF('Deploy Parameters'!F74="n/a","mgmt-nsx-segment-id-range@rangeStart=","mgmt-nsx-segment-id-range@rangeStart="&amp;'Deploy Parameters'!F74)</f>
        <v>mgmt-nsx-segment-id-range@rangeStart=5300</v>
      </c>
    </row>
    <row r="466" spans="1:1">
      <c r="A466" s="20" t="str">
        <f>IF('Deploy Parameters'!G74="n/a","mgmt-nsx-segment-id-range@rangeEnd=","mgmt-nsx-segment-id-range@rangeEnd="&amp;'Deploy Parameters'!G74)</f>
        <v>mgmt-nsx-segment-id-range@rangeEnd=5500</v>
      </c>
    </row>
    <row r="467" spans="1:1">
      <c r="A467" s="19" t="s">
        <v>487</v>
      </c>
    </row>
    <row r="468" spans="1:1">
      <c r="A468" s="21" t="str">
        <f>IF('Deploy Parameters'!F75="n/a","nsx-mgmt-multicast-address-range@rangeStartIp=","nsx-mgmt-multicast-address-range@rangeStartIp="&amp;'Deploy Parameters'!F75)</f>
        <v>nsx-mgmt-multicast-address-range@rangeStartIp=239.5.0.0</v>
      </c>
    </row>
    <row r="469" spans="1:1">
      <c r="A469" s="21" t="str">
        <f>IF('Deploy Parameters'!G75="n/a","nsx-mgmt-multicast-address-range@rangeEndIp=","nsx-mgmt-multicast-address-range@rangeEndIp="&amp;'Deploy Parameters'!G75)</f>
        <v>nsx-mgmt-multicast-address-range@rangeEndIp=239.5.255.255</v>
      </c>
    </row>
    <row r="470" spans="1:1">
      <c r="A470" s="19"/>
    </row>
    <row r="471" spans="1:1">
      <c r="A471" s="19" t="s">
        <v>486</v>
      </c>
    </row>
    <row r="472" spans="1:1">
      <c r="A472" s="20" t="str">
        <f>IF('Deploy Parameters'!J74="n/a","comp-nsx-segment-id-range@rangeStart=","comp-nsx-segment-id-range@rangeStart="&amp;'Deploy Parameters'!J74)</f>
        <v>comp-nsx-segment-id-range@rangeStart=5900</v>
      </c>
    </row>
    <row r="473" spans="1:1">
      <c r="A473" s="20" t="str">
        <f>IF('Deploy Parameters'!K74="n/a","comp-nsx-segment-id-range@rangeEnd=","comp-nsx-segment-id-range@rangeEnd="&amp;'Deploy Parameters'!K74)</f>
        <v>comp-nsx-segment-id-range@rangeEnd=6100</v>
      </c>
    </row>
    <row r="474" spans="1:1">
      <c r="A474" s="19" t="s">
        <v>488</v>
      </c>
    </row>
    <row r="475" spans="1:1">
      <c r="A475" s="21" t="str">
        <f>IF('Deploy Parameters'!J75="n/a","nsx-compute-multicast-address-range@rangeStartIp=","nsx-compute-multicast-address-range@rangeStartIp="&amp;'Deploy Parameters'!J75)</f>
        <v>nsx-compute-multicast-address-range@rangeStartIp=239.6.0.0</v>
      </c>
    </row>
    <row r="476" spans="1:1">
      <c r="A476" s="21" t="str">
        <f>IF('Deploy Parameters'!K75="n/a","nsx-compute-multicast-address-range@rangeEndIp=","nsx-compute-multicast-address-range@rangeEndIp="&amp;'Deploy Parameters'!K75)</f>
        <v>nsx-compute-multicast-address-range@rangeEndIp=239.6.255.255</v>
      </c>
    </row>
    <row r="477" spans="1:1">
      <c r="A477" s="21"/>
    </row>
    <row r="478" spans="1:1">
      <c r="A478" s="1" t="s">
        <v>387</v>
      </c>
    </row>
    <row r="479" spans="1:1">
      <c r="A479" s="5" t="str">
        <f>IF('Deploy Parameters'!F46="n/a","region-a-vc-psc-username=","region-a-vc-psc-username="&amp;'Deploy Parameters'!F46)</f>
        <v>region-a-vc-psc-username=administrator@vsphere.local</v>
      </c>
    </row>
    <row r="480" spans="1:1">
      <c r="A480" s="5" t="str">
        <f>IF('Deploy Parameters'!F47="n/a","region-a-vc-psc-password=","region-a-vc-psc-password="&amp;'Deploy Parameters'!F47)</f>
        <v>region-a-vc-psc-password=VMware1!</v>
      </c>
    </row>
    <row r="481" spans="1:1">
      <c r="A481" s="5" t="str">
        <f>IF('Deploy Parameters'!F43="n/a","psc-mgmt-region-a.address=","psc-mgmt-region-a.address="&amp;'Deploy Parameters'!F43)</f>
        <v>psc-mgmt-region-a.address=172.16.11.61</v>
      </c>
    </row>
    <row r="482" spans="1:1">
      <c r="A482" s="5" t="str">
        <f>IF('Deploy Parameters'!J43="n/a","psc-compute-region-a.address=","psc-compute-region-a.address="&amp;'Deploy Parameters'!J43)</f>
        <v>psc-compute-region-a.address=172.16.11.63</v>
      </c>
    </row>
    <row r="483" spans="1:1">
      <c r="A483" s="5" t="str">
        <f>IF('Deploy Parameters'!F44="n/a","vcenter-mgmt-region-a.address=","vcenter-mgmt-region-a.address="&amp;'Deploy Parameters'!F44)</f>
        <v>vcenter-mgmt-region-a.address=172.16.11.62</v>
      </c>
    </row>
    <row r="484" spans="1:1">
      <c r="A484" s="5" t="str">
        <f>IF('Deploy Parameters'!F49="n/a","vcenter-mgmt-region-a.clusterName=","vcenter-mgmt-region-a.clusterName="&amp;'Deploy Parameters'!F49)</f>
        <v>vcenter-mgmt-region-a.clusterName=sfo01-m01-mgmt01</v>
      </c>
    </row>
    <row r="485" spans="1:1">
      <c r="A485" s="5" t="str">
        <f>IF('Deploy Parameters'!F50="n/a","vcenter-mgmt-region-a.datastoreName=","vcenter-mgmt-region-a.datastoreName="&amp;'Deploy Parameters'!F50)</f>
        <v>vcenter-mgmt-region-a.datastoreName=sfo01-m01-nfs01</v>
      </c>
    </row>
    <row r="486" spans="1:1">
      <c r="A486" s="5" t="str">
        <f>IF('Deploy Parameters'!F51="n/a","vcenter-mgmt-region-a.datacenterName=","vcenter-mgmt-region-a.datacenterName="&amp;'Deploy Parameters'!F51)</f>
        <v>vcenter-mgmt-region-a.datacenterName=sfo01-m01dc</v>
      </c>
    </row>
    <row r="487" spans="1:1">
      <c r="A487" s="5" t="str">
        <f>IF('Deploy Parameters'!J44="n/a","vcenter-compute-region-a.address=","vcenter-compute-region-a.address="&amp;'Deploy Parameters'!J44)</f>
        <v>vcenter-compute-region-a.address=172.16.11.64</v>
      </c>
    </row>
    <row r="488" spans="1:1">
      <c r="A488" s="5" t="str">
        <f>IF('Deploy Parameters'!J46="n/a","psc-compute-region-a-vm.password=","psc-compute-region-a-vm.password="&amp;'Deploy Parameters'!J46)</f>
        <v>psc-compute-region-a-vm.password=VMware1!</v>
      </c>
    </row>
    <row r="489" spans="1:1">
      <c r="A489" s="5" t="str">
        <f>IF('Deploy Parameters'!F45="n/a","nsx-mgmt-region-a.address=","nsx-mgmt-region-a.address="&amp;'Deploy Parameters'!F45)</f>
        <v>nsx-mgmt-region-a.address=172.16.11.65</v>
      </c>
    </row>
    <row r="490" spans="1:1">
      <c r="A490" s="5" t="str">
        <f>IF('Deploy Parameters'!J45="n/a","nsx-compute-region-a.address=","nsx-compute-region-a.address="&amp;'Deploy Parameters'!J45)</f>
        <v>nsx-compute-region-a.address=172.16.11.66</v>
      </c>
    </row>
    <row r="491" spans="1:1">
      <c r="A491" s="5" t="str">
        <f>IF('Deploy Parameters'!F48="n/a","nsx-region-a.username=","nsx-region-a.username="&amp;'Deploy Parameters'!F48)</f>
        <v>nsx-region-a.username=admin</v>
      </c>
    </row>
    <row r="492" spans="1:1">
      <c r="A492" s="5" t="str">
        <f>IF('Deploy Parameters'!G48="n/a","nsx-region-a.password=","nsx-region-a.password="&amp;'Deploy Parameters'!G48)</f>
        <v>nsx-region-a.password=VMware1!</v>
      </c>
    </row>
    <row r="493" spans="1:1">
      <c r="A493" s="5" t="str">
        <f>IF('Deploy Parameters'!F96="n/a","mgmt-udlr-primary-site-configuration@name=","mgmt-udlr-primary-site-configuration@name="&amp;'Deploy Parameters'!F96)</f>
        <v>mgmt-udlr-primary-site-configuration@name=lax01m01udlr01</v>
      </c>
    </row>
    <row r="494" spans="1:1">
      <c r="A494" s="5" t="str">
        <f>IF('Deploy Parameters'!J96="n/a","compute-edge-udlr-configuration@name=","compute-edge-udlr-configuration@name="&amp;'Deploy Parameters'!J96)</f>
        <v>compute-edge-udlr-configuration@name=lax01w01udlr01</v>
      </c>
    </row>
    <row r="495" spans="1:1">
      <c r="A495" s="5" t="str">
        <f>IF('Deploy Parameters'!J66="n/a","x-region-mgmt-logical-switch@name=","x-region-mgmt-logical-switch@name="&amp;'Deploy Parameters'!J66)</f>
        <v>x-region-mgmt-logical-switch@name=Mgmt-xRegion01-VXLAN</v>
      </c>
    </row>
    <row r="496" spans="1:1">
      <c r="A496" s="5" t="str">
        <f>IF('Deploy Parameters'!J182="n/a","region-a-mgmt-vm-folder-name@value=","region-a-mgmt-vm-folder-name@value="&amp;'Deploy Parameters'!J182)</f>
        <v>region-a-mgmt-vm-folder-name@value=sfo01-m01fd-mgmt</v>
      </c>
    </row>
    <row r="497" spans="1:1" ht="16">
      <c r="A497" s="23" t="str">
        <f>IF('Deploy Parameters'!J183="n/a","region-a-vra-vm-folder-name@value=","region-a-vra-vm-folder-name@value="&amp;'Deploy Parameters'!J183)</f>
        <v>region-a-vra-vm-folder-name@value=sfo01-m01fd-vra</v>
      </c>
    </row>
    <row r="498" spans="1:1" s="3" customFormat="1">
      <c r="A498" s="17" t="str">
        <f>IF('Deploy Parameters'!J184="n/a","region-a-vrops-vm-folder-name@value=","region-a-vrops-vm-folder-name@value="&amp;'Deploy Parameters'!J184)</f>
        <v>region-a-vrops-vm-folder-name@value=sfo01-m01fd-vrops</v>
      </c>
    </row>
    <row r="499" spans="1:1" s="3" customFormat="1">
      <c r="A499" s="3" t="s">
        <v>484</v>
      </c>
    </row>
    <row r="500" spans="1:1" s="3" customFormat="1">
      <c r="A500" s="14" t="str">
        <f>IF('Deploy Parameters'!F104="n/a","esg-mgmt-01-region-a.gatewayName=","esg-mgmt-01-region-a.gatewayName="&amp;'Deploy Parameters'!F104)</f>
        <v>esg-mgmt-01-region-a.gatewayName=sfo01m01esg01</v>
      </c>
    </row>
    <row r="501" spans="1:1" s="3" customFormat="1">
      <c r="A501" s="14" t="str">
        <f>IF('Deploy Parameters'!F105="n/a","esg-mgmt-02-region-a.gatewayName=","esg-mgmt-02-region-a.gatewayName="&amp;'Deploy Parameters'!F105)</f>
        <v>esg-mgmt-02-region-a.gatewayName=sfo01m01esg02</v>
      </c>
    </row>
    <row r="502" spans="1:1" s="3" customFormat="1">
      <c r="A502" s="3" t="s">
        <v>1016</v>
      </c>
    </row>
    <row r="503" spans="1:1" s="3" customFormat="1">
      <c r="A503" s="14" t="str">
        <f>IF('Deploy Parameters'!G107="n/a","region-a-app-mgmt-logical-switch.cidr=","region-a-app-mgmt-logical-switch.cidr="&amp;'Deploy Parameters'!G107)</f>
        <v>region-a-app-mgmt-logical-switch.cidr=192.168.31.0/24</v>
      </c>
    </row>
    <row r="504" spans="1:1" s="3" customFormat="1">
      <c r="A504" s="14" t="str">
        <f>IF('Deploy Parameters'!G108="n/a","region-a-app-mgmt-logical-switch.gateway=","region-a-app-mgmt-logical-switch.gateway="&amp;'Deploy Parameters'!F107)</f>
        <v>region-a-app-mgmt-logical-switch.gateway=192.168.31.1</v>
      </c>
    </row>
    <row r="505" spans="1:1" s="3" customFormat="1">
      <c r="A505" s="15"/>
    </row>
    <row r="506" spans="1:1">
      <c r="A506" s="15"/>
    </row>
    <row r="507" spans="1:1">
      <c r="A507" s="1" t="s">
        <v>991</v>
      </c>
    </row>
    <row r="508" spans="1:1">
      <c r="A508" s="5" t="str">
        <f>IF('Deploy Parameters'!F112="n/a","vrslcmSpec.hostname=","vrslcmSpec.hostname="&amp;'Deploy Parameters'!F112)</f>
        <v>vrslcmSpec.hostname=vrslcm01svr01a</v>
      </c>
    </row>
    <row r="509" spans="1:1">
      <c r="A509" s="5" t="str">
        <f>IF('Deploy Parameters'!G112="n/a","vrslcmSpec.ipAddress=","vrslcmSpec.ipAddress="&amp;'Deploy Parameters'!G112)</f>
        <v>vrslcmSpec.ipAddress=192.168.11.20</v>
      </c>
    </row>
    <row r="510" spans="1:1">
      <c r="A510" s="5" t="str">
        <f>IF('Users and Groups'!C24="n/a","vrslcmSpec.appliancePassword=","vrslcmSpec.appliancePassword="&amp;'Users and Groups'!C24)</f>
        <v>vrslcmSpec.appliancePassword=VMw@re1!</v>
      </c>
    </row>
    <row r="511" spans="1:1">
      <c r="A511" s="5" t="str">
        <f>IF('Users and Groups'!C23="n/a","vrslcmSpec.sshPassword=","vrslcmSpec.sshPassword="&amp;'Users and Groups'!C23)</f>
        <v>vrslcmSpec.sshPassword=VMw@re1!</v>
      </c>
    </row>
    <row r="512" spans="1:1">
      <c r="A512" s="1" t="s">
        <v>1010</v>
      </c>
    </row>
    <row r="513" spans="1:1">
      <c r="A513" s="5" t="str">
        <f>IF('Users and Groups'!B25="n/a","svc-vrslcm-ad-user.username=","svc-vrslcm-ad-user.username="&amp;'Users and Groups'!B25)</f>
        <v>svc-vrslcm-ad-user.username=svc-vrslcm-vsphere</v>
      </c>
    </row>
    <row r="514" spans="1:1">
      <c r="A514" s="5" t="str">
        <f>IF('Users and Groups'!C25="n/a","svc-vrslcm-ad-user.password=","svc-vrslcm-ad-user.password="&amp;'Users and Groups'!C25)</f>
        <v>svc-vrslcm-ad-user.password=VMw@re1!</v>
      </c>
    </row>
    <row r="517" spans="1:1" s="6" customFormat="1">
      <c r="A517" s="1" t="s">
        <v>114</v>
      </c>
    </row>
    <row r="518" spans="1:1" s="6" customFormat="1">
      <c r="A518" s="6" t="s">
        <v>380</v>
      </c>
    </row>
    <row r="519" spans="1:1" s="6" customFormat="1">
      <c r="A519" s="5" t="str">
        <f>"vra-ias-vms-join-domain@value="&amp;'Deploy Parameters'!F121</f>
        <v>vra-ias-vms-join-domain@value=child</v>
      </c>
    </row>
    <row r="520" spans="1:1">
      <c r="A520" s="6"/>
    </row>
    <row r="521" spans="1:1">
      <c r="A521" s="1" t="s">
        <v>452</v>
      </c>
    </row>
    <row r="522" spans="1:1">
      <c r="A522" s="5" t="str">
        <f>IF('Deploy Parameters'!K116="n/a","vraIp1.address=","vraIp1.address="&amp;'Deploy Parameters'!K116)</f>
        <v>vraIp1.address=192.168.11.51</v>
      </c>
    </row>
    <row r="523" spans="1:1">
      <c r="A523" s="5" t="str">
        <f>IF('Deploy Parameters'!K117="n/a","vraIp2.address=","vraIp2.address="&amp;'Deploy Parameters'!K117)</f>
        <v>vraIp2.address=192.168.11.52</v>
      </c>
    </row>
    <row r="524" spans="1:1">
      <c r="A524" s="5" t="str">
        <f>IF('Deploy Parameters'!K118="n/a","vraIp3.address=","vraIp3.address="&amp;'Deploy Parameters'!K118)</f>
        <v>vraIp3.address=192.168.11.50</v>
      </c>
    </row>
    <row r="525" spans="1:1" ht="16">
      <c r="A525" s="10" t="str">
        <f>IF('Deploy Parameters'!K126="n/a","vraLbIp.address=","vraLbIp.address="&amp;'Deploy Parameters'!K126)</f>
        <v>vraLbIp.address=192.168.11.53</v>
      </c>
    </row>
    <row r="526" spans="1:1">
      <c r="A526" s="5" t="str">
        <f>IF('Deploy Parameters'!K119="n/a","iwsIp1.address=","iwsIp1.address="&amp;'Deploy Parameters'!K119)</f>
        <v>iwsIp1.address=192.168.11.54</v>
      </c>
    </row>
    <row r="527" spans="1:1">
      <c r="A527" s="5" t="str">
        <f>IF('Deploy Parameters'!K120="n/a","iwsIp2.address=","iwsIp2.address="&amp;'Deploy Parameters'!K120)</f>
        <v>iwsIp2.address=192.168.11.55</v>
      </c>
    </row>
    <row r="528" spans="1:1">
      <c r="A528" s="5" t="str">
        <f>IF('Deploy Parameters'!K127="n/a","iwsLbIp.address=","iwsLbIp.address="&amp;'Deploy Parameters'!K127)</f>
        <v>iwsLbIp.address=192.168.11.56</v>
      </c>
    </row>
    <row r="529" spans="1:1">
      <c r="A529" s="5" t="str">
        <f>IF('Deploy Parameters'!K121="n/a","imsIp1.address=","imsIp1.address="&amp;'Deploy Parameters'!K121)</f>
        <v>imsIp1.address=192.168.11.57</v>
      </c>
    </row>
    <row r="530" spans="1:1">
      <c r="A530" s="5" t="str">
        <f>IF('Deploy Parameters'!K122="n/a","imsIp2.address=","imsIp2.address="&amp;'Deploy Parameters'!K122)</f>
        <v>imsIp2.address=192.168.11.58</v>
      </c>
    </row>
    <row r="531" spans="1:1">
      <c r="A531" s="5" t="str">
        <f>IF('Deploy Parameters'!K128="n/a","imsLbIp.address=","imsLbIp.address="&amp;'Deploy Parameters'!K128)</f>
        <v>imsLbIp.address=192.168.11.59</v>
      </c>
    </row>
    <row r="532" spans="1:1">
      <c r="A532" s="5" t="str">
        <f>IF('Deploy Parameters'!K123="n/a","demIp1.address=","demIp1.address="&amp;'Deploy Parameters'!K123)</f>
        <v>demIp1.address=192.168.11.60</v>
      </c>
    </row>
    <row r="533" spans="1:1">
      <c r="A533" s="5" t="str">
        <f>IF('Deploy Parameters'!K124="n/a","demIp2.address=","demIp2.address="&amp;'Deploy Parameters'!K124)</f>
        <v>demIp2.address=192.168.11.61</v>
      </c>
    </row>
    <row r="534" spans="1:1">
      <c r="A534" s="1" t="s">
        <v>451</v>
      </c>
    </row>
    <row r="535" spans="1:1">
      <c r="A535" s="5" t="str">
        <f>IF('Deploy Parameters'!G115="n/a","iasIp1.address=","iasIp1.address="&amp;'Deploy Parameters'!G115)</f>
        <v>iasIp1.address=192.168.32.52</v>
      </c>
    </row>
    <row r="536" spans="1:1">
      <c r="A536" s="5" t="str">
        <f>IF('Deploy Parameters'!G116="n/a","iasIp2.address=","iasIp2.address="&amp;'Deploy Parameters'!G116)</f>
        <v>iasIp2.address=192.168.32.53</v>
      </c>
    </row>
    <row r="537" spans="1:1">
      <c r="A537" s="5" t="str">
        <f>IF('Deploy Parameters'!F115="n/a","vra-ias-deployment-1-vmname=","vra-ias-deployment-1-vmname="&amp;'Deploy Parameters'!F115)</f>
        <v>vra-ias-deployment-1-vmname=lax01ias01a</v>
      </c>
    </row>
    <row r="538" spans="1:1">
      <c r="A538" s="5" t="str">
        <f>IF('Deploy Parameters'!F116="n/a","vra-ias-deployment-2-vmname=","vra-ias-deployment-2-vmname="&amp;'Deploy Parameters'!F116)</f>
        <v>vra-ias-deployment-2-vmname=lax01ias01b</v>
      </c>
    </row>
    <row r="539" spans="1:1">
      <c r="A539" s="1" t="s">
        <v>720</v>
      </c>
    </row>
    <row r="540" spans="1:1">
      <c r="A540" s="5" t="str">
        <f>IF('Deploy Parameters'!J116="n/a","vra-deployment-1-vmname=","vra-deployment-1-vmname="&amp;'Deploy Parameters'!J116)</f>
        <v>vra-deployment-1-vmname=vra01svr01a</v>
      </c>
    </row>
    <row r="541" spans="1:1">
      <c r="A541" s="5" t="str">
        <f>IF('Deploy Parameters'!J117="n/a","vra-deployment-2-vmname=","vra-deployment-2-vmname="&amp;'Deploy Parameters'!J117)</f>
        <v>vra-deployment-2-vmname=vra01svr01b</v>
      </c>
    </row>
    <row r="542" spans="1:1">
      <c r="A542" s="5" t="str">
        <f>IF('Deploy Parameters'!J118="n/a","vra-deployment-3-vmname=","vra-deployment-3-vmname="&amp;'Deploy Parameters'!J118)</f>
        <v>vra-deployment-3-vmname=vra01svr01c</v>
      </c>
    </row>
    <row r="543" spans="1:1">
      <c r="A543" s="5" t="str">
        <f>IF('Deploy Parameters'!J119="n/a","vra-iws-deployment-1-vmname=","vra-iws-deployment-1-vmname="&amp;'Deploy Parameters'!J119)</f>
        <v>vra-iws-deployment-1-vmname=vra01iws01a</v>
      </c>
    </row>
    <row r="544" spans="1:1">
      <c r="A544" s="5" t="str">
        <f>IF('Deploy Parameters'!J120="n/a","vra-iws-deployment-2-vmname=","vra-iws-deployment-2-vmname="&amp;'Deploy Parameters'!J120)</f>
        <v>vra-iws-deployment-2-vmname=vra01iws01b</v>
      </c>
    </row>
    <row r="545" spans="1:1">
      <c r="A545" s="5" t="str">
        <f>IF('Deploy Parameters'!J121="n/a","vra-ims-deployment-1-vmname=","vra-ims-deployment-1-vmname="&amp;'Deploy Parameters'!J121)</f>
        <v>vra-ims-deployment-1-vmname=vra01ims01a</v>
      </c>
    </row>
    <row r="546" spans="1:1">
      <c r="A546" s="5" t="str">
        <f>IF('Deploy Parameters'!J122="n/a","vra-ims-deployment-2-vmname=","vra-ims-deployment-2-vmname="&amp;'Deploy Parameters'!J122)</f>
        <v>vra-ims-deployment-2-vmname=vra01ims01b</v>
      </c>
    </row>
    <row r="547" spans="1:1">
      <c r="A547" s="5" t="str">
        <f>IF('Deploy Parameters'!J123="n/a","vra-dem-deployment-1-vmname=","vra-dem-deployment-1-vmname="&amp;'Deploy Parameters'!J123)</f>
        <v>vra-dem-deployment-1-vmname=vra01dem01a</v>
      </c>
    </row>
    <row r="548" spans="1:1">
      <c r="A548" s="5" t="str">
        <f>IF('Deploy Parameters'!J124="n/a","vra-dem-deployment-2-vmname=","vra-dem-deployment-2-vmname="&amp;'Deploy Parameters'!J124)</f>
        <v>vra-dem-deployment-2-vmname=vra01dem01b</v>
      </c>
    </row>
    <row r="549" spans="1:1">
      <c r="A549" s="6"/>
    </row>
    <row r="550" spans="1:1">
      <c r="A550" s="1" t="s">
        <v>190</v>
      </c>
    </row>
    <row r="551" spans="1:1" s="6" customFormat="1">
      <c r="A551" s="5" t="str">
        <f>IF('Deploy Parameters'!F118="n/a","vra-ias-agent-name-1@value=","vra-ias-agent-name-1@value="&amp;'Deploy Parameters'!F118)</f>
        <v>vra-ias-agent-name-1@value=lax01w01vc01.lax01.rainpole.local</v>
      </c>
    </row>
    <row r="552" spans="1:1">
      <c r="A552" s="5" t="str">
        <f>IF('Deploy Parameters'!F118="n/a","vra-ias-agent-name-2@value=","vra-ias-agent-name-2@value="&amp;'Deploy Parameters'!F118)</f>
        <v>vra-ias-agent-name-2@value=lax01w01vc01.lax01.rainpole.local</v>
      </c>
    </row>
    <row r="553" spans="1:1">
      <c r="A553" s="5" t="str">
        <f>IF('Deploy Parameters'!F119="n/a","vra-ias-vsphere-endpoint-name@value=","vra-ias-vsphere-endpoint-name@value="&amp;'Deploy Parameters'!F119)</f>
        <v>vra-ias-vsphere-endpoint-name@value=lax01w01vc01.lax01.rainpole.local</v>
      </c>
    </row>
    <row r="555" spans="1:1">
      <c r="A555" s="6" t="s">
        <v>243</v>
      </c>
    </row>
    <row r="556" spans="1:1">
      <c r="A556" s="5" t="str">
        <f>"ug-vROAdmins-ad-group.name="&amp;'Users and Groups'!B9</f>
        <v>ug-vROAdmins-ad-group.name=ug-vROAdmins</v>
      </c>
    </row>
    <row r="558" spans="1:1">
      <c r="A558" s="1" t="s">
        <v>106</v>
      </c>
    </row>
    <row r="559" spans="1:1">
      <c r="A559" s="1" t="s">
        <v>107</v>
      </c>
    </row>
    <row r="560" spans="1:1">
      <c r="A560" s="5" t="str">
        <f>"svc-vra-ad-user.username="&amp;'Users and Groups'!B41</f>
        <v>svc-vra-ad-user.username=svc-vra</v>
      </c>
    </row>
    <row r="561" spans="1:1">
      <c r="A561" s="5" t="str">
        <f>"svc-vra-ad-user.password="&amp;'Users and Groups'!C41</f>
        <v>svc-vra-ad-user.password=VMware1!</v>
      </c>
    </row>
    <row r="563" spans="1:1">
      <c r="A563" s="1" t="s">
        <v>372</v>
      </c>
    </row>
    <row r="564" spans="1:1">
      <c r="A564" s="5" t="str">
        <f>"windows-admin-credentials@username="&amp;'Users and Groups'!B43</f>
        <v>windows-admin-credentials@username=Administrator</v>
      </c>
    </row>
    <row r="565" spans="1:1">
      <c r="A565" s="5" t="str">
        <f>"windows-admin-credentials@password="&amp;'Users and Groups'!C43</f>
        <v>windows-admin-credentials@password=VMware1!</v>
      </c>
    </row>
    <row r="567" spans="1:1">
      <c r="A567" s="1" t="s">
        <v>157</v>
      </c>
    </row>
    <row r="568" spans="1:1">
      <c r="A568" s="7" t="str">
        <f>"ITAC-TenantAdmin-ad-user.username="&amp;'Users and Groups'!B45</f>
        <v>ITAC-TenantAdmin-ad-user.username=vra-admin-rainpole</v>
      </c>
    </row>
    <row r="569" spans="1:1">
      <c r="A569" s="5" t="str">
        <f>"ITAC-TenantAdmin-ad-user.password="&amp;'Users and Groups'!C45</f>
        <v>ITAC-TenantAdmin-ad-user.password=VMware1!</v>
      </c>
    </row>
    <row r="570" spans="1:1">
      <c r="A570" s="6" t="s">
        <v>234</v>
      </c>
    </row>
    <row r="571" spans="1:1">
      <c r="A571" s="5" t="str">
        <f>"ug-ITAC-TenantAdmins-ad-group.name="&amp;'Users and Groups'!B10</f>
        <v>ug-ITAC-TenantAdmins-ad-group.name=ug-vra-admins-rainpole</v>
      </c>
    </row>
    <row r="573" spans="1:1">
      <c r="A573" s="6" t="s">
        <v>1036</v>
      </c>
    </row>
    <row r="574" spans="1:1">
      <c r="A574" s="5" t="str">
        <f>IF('vRA Configuration'!C12="n/a","itac-defaulttenant-credentials@username=","itac-defaulttenant-credentials@username="&amp;'vRA Configuration'!C12)</f>
        <v>itac-defaulttenant-credentials@username=vra-LocalDefaultAdmin</v>
      </c>
    </row>
    <row r="575" spans="1:1">
      <c r="A575" s="5" t="str">
        <f>IF('vRA Configuration'!C13="n/a","itac-defaulttenant-credentials@password=","itac-defaulttenant-credentials@password="&amp;'vRA Configuration'!C13)</f>
        <v>itac-defaulttenant-credentials@password=VMware1!</v>
      </c>
    </row>
    <row r="576" spans="1:1">
      <c r="A576" s="6" t="s">
        <v>1037</v>
      </c>
    </row>
    <row r="577" spans="1:1">
      <c r="A577" s="5" t="str">
        <f>IF('vRA Configuration'!F12="n/a","itac-tenant-credentials@username=","itac-tenant-credentials@username="&amp;'vRA Configuration'!F12)</f>
        <v>itac-tenant-credentials@username=vra-LocalRainpoleAdmin</v>
      </c>
    </row>
    <row r="578" spans="1:1">
      <c r="A578" s="5" t="str">
        <f>IF('vRA Configuration'!F13="n/a","itac-tenant-credentials@password=","itac-tenant-credentials@password="&amp;'vRA Configuration'!F13)</f>
        <v>itac-tenant-credentials@password=VMware1!</v>
      </c>
    </row>
    <row r="579" spans="1:1">
      <c r="A579" s="6"/>
    </row>
    <row r="580" spans="1:1">
      <c r="A580" s="1" t="s">
        <v>454</v>
      </c>
    </row>
    <row r="581" spans="1:1">
      <c r="A581" s="1" t="s">
        <v>109</v>
      </c>
    </row>
    <row r="582" spans="1:1" s="6" customFormat="1">
      <c r="A582" s="5" t="str">
        <f>"vra-iaas-template-deployment.vmname="&amp;'Deploy Parameters'!F122</f>
        <v>vra-iaas-template-deployment.vmname=master-iaas-vm</v>
      </c>
    </row>
    <row r="583" spans="1:1">
      <c r="A583" s="6"/>
    </row>
    <row r="584" spans="1:1">
      <c r="A584" s="1" t="s">
        <v>233</v>
      </c>
    </row>
    <row r="585" spans="1:1">
      <c r="A585" s="5" t="str">
        <f>"svc-vro-ad-user.username="&amp;'Users and Groups'!B42</f>
        <v>svc-vro-ad-user.username=svc-vro</v>
      </c>
    </row>
    <row r="586" spans="1:1">
      <c r="A586" s="5" t="str">
        <f>"svc-vro-ad-user.password="&amp;'Users and Groups'!C42</f>
        <v>svc-vro-ad-user.password=VMware1!</v>
      </c>
    </row>
    <row r="588" spans="1:1">
      <c r="A588" s="1" t="s">
        <v>292</v>
      </c>
    </row>
    <row r="589" spans="1:1">
      <c r="A589" s="5" t="str">
        <f>"vrbCollectorIp.address="&amp;'Deploy Parameters'!G139</f>
        <v>vrbCollectorIp.address=192.168.32.54</v>
      </c>
    </row>
    <row r="590" spans="1:1">
      <c r="A590" s="5" t="s">
        <v>1189</v>
      </c>
    </row>
    <row r="591" spans="1:1">
      <c r="A591" s="5" t="str">
        <f>"vrb-collector-deployment-vmname="&amp;'Deploy Parameters'!F139</f>
        <v>vrb-collector-deployment-vmname=lax01vrbc01</v>
      </c>
    </row>
    <row r="592" spans="1:1">
      <c r="A592" s="5" t="str">
        <f>"vrb-va-root-credentials@password="&amp;'Users and Groups'!C44</f>
        <v>vrb-va-root-credentials@password=VMware1!</v>
      </c>
    </row>
    <row r="593" spans="1:1">
      <c r="A593" s="1" t="s">
        <v>1029</v>
      </c>
    </row>
    <row r="594" spans="1:1">
      <c r="A594" s="5" t="str">
        <f>IF('Deploy Parameters'!J140="n/a","vrb-server-region-a.address=","vrb-server-region-a.address="&amp;'Deploy Parameters'!J140)</f>
        <v>vrb-server-region-a.address=vrb01svr01</v>
      </c>
    </row>
    <row r="595" spans="1:1">
      <c r="A595" s="5" t="str">
        <f>IF('Deploy Parameters'!J141="n/a","vrbServerIp.address=","vrbServerIp.address="&amp;'Deploy Parameters'!J141)</f>
        <v>vrbServerIp.address=192.168.11.66</v>
      </c>
    </row>
    <row r="596" spans="1:1">
      <c r="A596" s="5" t="str">
        <f>"vrb-currency@value="&amp;'Deploy Parameters'!J142</f>
        <v>vrb-currency@value=USD - US Dollar</v>
      </c>
    </row>
    <row r="598" spans="1:1">
      <c r="A598" s="1" t="s">
        <v>268</v>
      </c>
    </row>
    <row r="599" spans="1:1">
      <c r="A599" s="5" t="str">
        <f>"vra-horizon-credentials@username="&amp;'Users and Groups'!B40</f>
        <v>vra-horizon-credentials@username=administrator@vsphere.local</v>
      </c>
    </row>
    <row r="600" spans="1:1">
      <c r="A600" s="5" t="str">
        <f>"vra-horizon-credentials@password="&amp;'Users and Groups'!C40</f>
        <v>vra-horizon-credentials@password=VMware1!</v>
      </c>
    </row>
    <row r="601" spans="1:1">
      <c r="A601" s="1" t="s">
        <v>286</v>
      </c>
    </row>
    <row r="602" spans="1:1">
      <c r="A602" s="5" t="str">
        <f>IF('vRA Configuration'!F8="n/a","vra-tenant-content-configuration@fabricGroupName=","vra-tenant-content-configuration@fabricGroupName="&amp;'vRA Configuration'!F8)</f>
        <v>vra-tenant-content-configuration@fabricGroupName=lax01-fabric-group</v>
      </c>
    </row>
    <row r="603" spans="1:1">
      <c r="A603" s="6"/>
    </row>
    <row r="604" spans="1:1">
      <c r="A604" s="1" t="s">
        <v>392</v>
      </c>
    </row>
    <row r="605" spans="1:1">
      <c r="A605" s="5" t="str">
        <f>IF('Deploy Parameters'!J126="n/a","vra-cluster-region-a.address=","vra-cluster-region-a.address="&amp;'Deploy Parameters'!J126)</f>
        <v>vra-cluster-region-a.address=vra01svr01</v>
      </c>
    </row>
    <row r="606" spans="1:1">
      <c r="A606" s="5" t="str">
        <f>IF('Deploy Parameters'!J129="n/a","vra-cluster-region-a.lb-hostname=","vra-cluster-region-a.lb-hostname="&amp;'Deploy Parameters'!J129)</f>
        <v>vra-cluster-region-a.lb-hostname=vra01svr01</v>
      </c>
    </row>
    <row r="607" spans="1:1">
      <c r="A607" s="1" t="s">
        <v>395</v>
      </c>
    </row>
    <row r="608" spans="1:1">
      <c r="A608" s="5" t="str">
        <f>IF('Deploy Parameters'!J127="n/a","vra-iws-cluster-region-a.address=","vra-iws-cluster-region-a.address="&amp;'Deploy Parameters'!J127)</f>
        <v>vra-iws-cluster-region-a.address=vra01iws01</v>
      </c>
    </row>
    <row r="609" spans="1:1">
      <c r="A609" s="1" t="s">
        <v>396</v>
      </c>
    </row>
    <row r="610" spans="1:1">
      <c r="A610" s="5" t="str">
        <f>IF('Deploy Parameters'!J128="n/a","vra-ims-cluster-region-a.address=","vra-ims-cluster-region-a.address="&amp;'Deploy Parameters'!J128)</f>
        <v>vra-ims-cluster-region-a.address=vra01ims01</v>
      </c>
    </row>
    <row r="611" spans="1:1">
      <c r="A611" s="1" t="s">
        <v>393</v>
      </c>
    </row>
    <row r="612" spans="1:1">
      <c r="A612" s="5" t="str">
        <f>IF('vRA Configuration'!C8="n/a","vra-tenant-region-a.name=","vra-tenant-region-a.name="&amp;'vRA Configuration'!C8)</f>
        <v>vra-tenant-region-a.name=Rainpole</v>
      </c>
    </row>
    <row r="613" spans="1:1">
      <c r="A613" s="5" t="str">
        <f>IF('vRA Configuration'!C9="n/a","vra-tenant-region-a.urlName=","vra-tenant-region-a.urlName="&amp;'vRA Configuration'!C9)</f>
        <v>vra-tenant-region-a.urlName=rainpole</v>
      </c>
    </row>
    <row r="614" spans="1:1">
      <c r="A614" s="1" t="s">
        <v>394</v>
      </c>
    </row>
    <row r="615" spans="1:1">
      <c r="A615" s="5" t="str">
        <f>IF('Deploy Parameters'!J130="n/a","vra-primary-vm-region-a.address=","vra-primary-vm-region-a.address="&amp;'Deploy Parameters'!J130)</f>
        <v>vra-primary-vm-region-a.address=vra01svr01a.rainpole.local</v>
      </c>
    </row>
    <row r="616" spans="1:1">
      <c r="A616" s="5" t="str">
        <f>IF('Deploy Parameters'!J131="n/a","vra-primary-vm-region-a.password=","vra-primary-vm-region-a.password="&amp;'Deploy Parameters'!J131)</f>
        <v>vra-primary-vm-region-a.password=VMware1!</v>
      </c>
    </row>
    <row r="617" spans="1:1">
      <c r="A617" s="1" t="s">
        <v>1011</v>
      </c>
    </row>
    <row r="618" spans="1:1">
      <c r="A618" s="5" t="str">
        <f>IF('Deploy Parameters'!J132="n/a","vra-system-admin.password=","vra-system-admin.password="&amp;'Deploy Parameters'!J132)</f>
        <v>vra-system-admin.password=VMware1!</v>
      </c>
    </row>
    <row r="619" spans="1:1">
      <c r="A619" s="1" t="s">
        <v>390</v>
      </c>
    </row>
    <row r="620" spans="1:1">
      <c r="A620" s="5" t="str">
        <f>IF('Deploy Parameters'!J134="n/a","vro-cluster-region-a.address=","vro-cluster-region-a.address="&amp;'Deploy Parameters'!J134)</f>
        <v>vro-cluster-region-a.address=vra01svr01.rainpole.local</v>
      </c>
    </row>
    <row r="621" spans="1:1">
      <c r="A621" s="1" t="s">
        <v>391</v>
      </c>
    </row>
    <row r="622" spans="1:1">
      <c r="A622" s="5" t="str">
        <f>IF('Deploy Parameters'!J133="n/a","vro-cluster-region-a.username=","vro-cluster-region-a.username="&amp;'Deploy Parameters'!J133)</f>
        <v>vro-cluster-region-a.username=svc-vra</v>
      </c>
    </row>
    <row r="623" spans="1:1">
      <c r="A623" s="5" t="str">
        <f>IF('Deploy Parameters'!K133="n/a","vro-cluster-region-a.password=","vro-cluster-region-a.password="&amp;'Deploy Parameters'!K133)</f>
        <v>vro-cluster-region-a.password=VMware1!</v>
      </c>
    </row>
    <row r="626" spans="1:1">
      <c r="A626" s="1" t="s">
        <v>115</v>
      </c>
    </row>
    <row r="627" spans="1:1">
      <c r="A627" s="1" t="s">
        <v>117</v>
      </c>
    </row>
    <row r="628" spans="1:1">
      <c r="A628" s="1" t="s">
        <v>274</v>
      </c>
    </row>
    <row r="629" spans="1:1">
      <c r="A629" s="5" t="str">
        <f>"vropsMasterIp.address="&amp;'Deploy Parameters'!K147</f>
        <v>vropsMasterIp.address=192.168.11.31</v>
      </c>
    </row>
    <row r="630" spans="1:1">
      <c r="A630" s="5" t="str">
        <f>"vropsReplicaIp.address="&amp;'Deploy Parameters'!K148</f>
        <v>vropsReplicaIp.address=192.168.11.32</v>
      </c>
    </row>
    <row r="631" spans="1:1">
      <c r="A631" s="5" t="str">
        <f>"vropsDataNodeIp.address="&amp;'Deploy Parameters'!K149</f>
        <v>vropsDataNodeIp.address=192.168.11.33</v>
      </c>
    </row>
    <row r="632" spans="1:1">
      <c r="A632" s="1" t="s">
        <v>725</v>
      </c>
    </row>
    <row r="633" spans="1:1">
      <c r="A633" s="5" t="str">
        <f>IF('Deploy Parameters'!J147="n/a","vrops-master-deployment-vmname=","vrops-master-deployment-vmname="&amp;'Deploy Parameters'!J147)</f>
        <v>vrops-master-deployment-vmname=vrops01svr01a</v>
      </c>
    </row>
    <row r="634" spans="1:1">
      <c r="A634" s="5" t="str">
        <f>IF('Deploy Parameters'!J148="n/a","vrops-replica-deployment-vmname=","vrops-replica-deployment-vmname="&amp;'Deploy Parameters'!J148)</f>
        <v>vrops-replica-deployment-vmname=vrops01svr01b</v>
      </c>
    </row>
    <row r="635" spans="1:1">
      <c r="A635" s="5" t="str">
        <f>IF('Deploy Parameters'!J149="n/a","vrops-datanode-deployment-vmname=","vrops-datanode-deployment-vmname="&amp;'Deploy Parameters'!J149)</f>
        <v>vrops-datanode-deployment-vmname=vrops01svr01c</v>
      </c>
    </row>
    <row r="636" spans="1:1">
      <c r="A636" s="1" t="s">
        <v>273</v>
      </c>
    </row>
    <row r="637" spans="1:1">
      <c r="A637" s="5" t="str">
        <f>"vROpsLoadBalancerIp.address="&amp;'Deploy Parameters'!K146</f>
        <v>vROpsLoadBalancerIp.address=192.168.11.35</v>
      </c>
    </row>
    <row r="638" spans="1:1">
      <c r="A638" s="5" t="str">
        <f>IF('Deploy Parameters'!J146="n/a","vrops-lb-hostname=","vrops-lb-hostname="&amp;'Deploy Parameters'!J146)</f>
        <v>vrops-lb-hostname=vrops01svr01</v>
      </c>
    </row>
    <row r="640" spans="1:1">
      <c r="A640" s="1" t="s">
        <v>116</v>
      </c>
    </row>
    <row r="641" spans="1:1">
      <c r="A641" s="6" t="s">
        <v>275</v>
      </c>
    </row>
    <row r="642" spans="1:1">
      <c r="A642" s="5" t="str">
        <f>"vropsCollectorIp1.address="&amp;'Deploy Parameters'!G145</f>
        <v>vropsCollectorIp1.address=192.168.32.31</v>
      </c>
    </row>
    <row r="643" spans="1:1">
      <c r="A643" s="5" t="str">
        <f>"vropsCollectorIp2.address="&amp;'Deploy Parameters'!G146</f>
        <v>vropsCollectorIp2.address=192.168.32.32</v>
      </c>
    </row>
    <row r="644" spans="1:1">
      <c r="A644" s="1" t="s">
        <v>120</v>
      </c>
    </row>
    <row r="645" spans="1:1">
      <c r="A645" s="5" t="str">
        <f>"vrops-remote-collector-1-deployment-vmname="&amp;'Deploy Parameters'!F145</f>
        <v>vrops-remote-collector-1-deployment-vmname=lax01vropsc01a</v>
      </c>
    </row>
    <row r="646" spans="1:1">
      <c r="A646" s="5" t="str">
        <f>"vrops-remote-collector-2-deployment-vmname="&amp;'Deploy Parameters'!F146</f>
        <v>vrops-remote-collector-2-deployment-vmname=lax01vropsc01b</v>
      </c>
    </row>
    <row r="647" spans="1:1">
      <c r="A647" s="6"/>
    </row>
    <row r="648" spans="1:1">
      <c r="A648" s="6" t="s">
        <v>192</v>
      </c>
    </row>
    <row r="649" spans="1:1">
      <c r="A649" s="5" t="str">
        <f>"vrops-admin-credentials@password="&amp;'Users and Groups'!C26</f>
        <v>vrops-admin-credentials@password=VMware1!</v>
      </c>
    </row>
    <row r="650" spans="1:1">
      <c r="A650" s="6" t="s">
        <v>147</v>
      </c>
    </row>
    <row r="651" spans="1:1">
      <c r="A651" s="6" t="s">
        <v>108</v>
      </c>
    </row>
    <row r="652" spans="1:1">
      <c r="A652" s="5" t="str">
        <f>"svc-vrops-vsphere-ad-user.username="&amp;'Users and Groups'!B27</f>
        <v>svc-vrops-vsphere-ad-user.username=svc-vrops-vsphere</v>
      </c>
    </row>
    <row r="653" spans="1:1">
      <c r="A653" s="5" t="str">
        <f>"svc-vrops-vsphere-ad-user.password="&amp;'Users and Groups'!C27</f>
        <v>svc-vrops-vsphere-ad-user.password=VMware1!</v>
      </c>
    </row>
    <row r="654" spans="1:1">
      <c r="A654" s="6" t="s">
        <v>195</v>
      </c>
    </row>
    <row r="655" spans="1:1">
      <c r="A655" s="5" t="str">
        <f>"svc-vrops-vsphere-vc-ad-user.username="&amp;'Users and Groups'!B27</f>
        <v>svc-vrops-vsphere-vc-ad-user.username=svc-vrops-vsphere</v>
      </c>
    </row>
    <row r="656" spans="1:1">
      <c r="A656" s="5" t="str">
        <f>"svc-vrops-vsphere-vc-ad-user.password="&amp;'Users and Groups'!C27</f>
        <v>svc-vrops-vsphere-vc-ad-user.password=VMware1!</v>
      </c>
    </row>
    <row r="657" spans="1:1">
      <c r="A657" s="6" t="s">
        <v>148</v>
      </c>
    </row>
    <row r="658" spans="1:1">
      <c r="A658" s="5" t="str">
        <f>"SDDC-Admins-ad-group.name="&amp;'Users and Groups'!B7</f>
        <v>SDDC-Admins-ad-group.name=ug-SDDC-Admins</v>
      </c>
    </row>
    <row r="659" spans="1:1">
      <c r="A659" s="1" t="s">
        <v>361</v>
      </c>
    </row>
    <row r="660" spans="1:1">
      <c r="A660" s="5" t="str">
        <f>"svc-vrops-mpsd-ad-user.username="&amp;'Users and Groups'!B29</f>
        <v>svc-vrops-mpsd-ad-user.username=svc-vrops-mpsd</v>
      </c>
    </row>
    <row r="661" spans="1:1">
      <c r="A661" s="5" t="str">
        <f>"svc-vrops-mpsd-ad-user.password="&amp;'Users and Groups'!C29</f>
        <v>svc-vrops-mpsd-ad-user.password=VMware1!</v>
      </c>
    </row>
    <row r="662" spans="1:1">
      <c r="A662" s="6" t="s">
        <v>552</v>
      </c>
    </row>
    <row r="663" spans="1:1">
      <c r="A663" s="5" t="str">
        <f>IF('Users and Groups'!B28="n/a","svc-vrops-nsx-ad-user.username=","svc-vrops-nsx-ad-user.username="&amp;'Users and Groups'!B28)</f>
        <v>svc-vrops-nsx-ad-user.username=svc-vrops-nsx</v>
      </c>
    </row>
    <row r="664" spans="1:1">
      <c r="A664" s="5" t="str">
        <f>IF('Users and Groups'!C28="n/a","svc-vrops-nsx-ad-user.password=","svc-vrops-nsx-ad-user.password="&amp;'Users and Groups'!C28)</f>
        <v>svc-vrops-nsx-ad-user.password=VMware1!</v>
      </c>
    </row>
    <row r="665" spans="1:1">
      <c r="A665" s="1" t="s">
        <v>553</v>
      </c>
    </row>
    <row r="666" spans="1:1">
      <c r="A666" s="5" t="str">
        <f>IF('Users and Groups'!B31="n/a","svc-vrops-vra-ad-user.username=","svc-vrops-vra-ad-user.username="&amp;'Users and Groups'!B31)</f>
        <v>svc-vrops-vra-ad-user.username=svc-vrops-vra</v>
      </c>
    </row>
    <row r="667" spans="1:1">
      <c r="A667" s="5" t="str">
        <f>IF('Users and Groups'!C31="n/a","svc-vrops-vra-ad-user.password=","svc-vrops-vra-ad-user.password="&amp;'Users and Groups'!C31)</f>
        <v>svc-vrops-vra-ad-user.password=VMware1!</v>
      </c>
    </row>
    <row r="668" spans="1:1">
      <c r="A668" s="1" t="s">
        <v>554</v>
      </c>
    </row>
    <row r="669" spans="1:1">
      <c r="A669" s="5" t="str">
        <f>IF('Users and Groups'!B30="n/a","svc-vrops-vsan-ad-user.username=","svc-vrops-vsan-ad-user.username="&amp;'Users and Groups'!B30)</f>
        <v>svc-vrops-vsan-ad-user.username=svc-vrops-vsan</v>
      </c>
    </row>
    <row r="670" spans="1:1" s="3" customFormat="1">
      <c r="A670" s="5" t="str">
        <f>IF('Users and Groups'!C30="n/a","svc-vrops-vsan-ad-user.password=","svc-vrops-vsan-ad-user.password="&amp;'Users and Groups'!C30)</f>
        <v>svc-vrops-vsan-ad-user.password=VMware1!</v>
      </c>
    </row>
    <row r="671" spans="1:1" s="3" customFormat="1">
      <c r="A671" s="3" t="s">
        <v>590</v>
      </c>
    </row>
    <row r="672" spans="1:1" s="3" customFormat="1">
      <c r="A672" s="14" t="str">
        <f>IF('Users and Groups'!B33="n/a","svc-vrops-srm-ad-user.username=","svc-vrops-srm-ad-user.username="&amp;'Users and Groups'!B33)</f>
        <v>svc-vrops-srm-ad-user.username=svc-vrops-srm</v>
      </c>
    </row>
    <row r="673" spans="1:1">
      <c r="A673" s="14" t="str">
        <f>IF('Users and Groups'!C33="n/a","svc-vrops-srm-ad-user.password=","svc-vrops-srm-ad-user.password="&amp;'Users and Groups'!C33)</f>
        <v>svc-vrops-srm-ad-user.password=VMware1!</v>
      </c>
    </row>
    <row r="674" spans="1:1">
      <c r="A674" s="6"/>
    </row>
    <row r="675" spans="1:1">
      <c r="A675" s="6" t="s">
        <v>571</v>
      </c>
    </row>
    <row r="676" spans="1:1">
      <c r="A676" s="5" t="str">
        <f>IF('Users and Groups'!B32="n/a","svc-vrli-vrops-ad-user.username=","svc-vrli-vrops-ad-user.username="&amp;'Users and Groups'!B32)</f>
        <v>svc-vrli-vrops-ad-user.username=svc-vrli-vrops</v>
      </c>
    </row>
    <row r="677" spans="1:1">
      <c r="A677" s="5" t="str">
        <f>IF('Users and Groups'!C32="n/a","svc-vrli-vrops-ad-user.password=","svc-vrli-vrops-ad-user.password="&amp;'Users and Groups'!C32)</f>
        <v>svc-vrli-vrops-ad-user.password=VMware1!</v>
      </c>
    </row>
    <row r="678" spans="1:1">
      <c r="A678" s="6"/>
    </row>
    <row r="679" spans="1:1">
      <c r="A679" s="1" t="s">
        <v>118</v>
      </c>
    </row>
    <row r="680" spans="1:1">
      <c r="A680" s="1" t="s">
        <v>276</v>
      </c>
    </row>
    <row r="681" spans="1:1">
      <c r="A681" s="5" t="str">
        <f>"logInsightMasterIp.address="&amp;'Deploy Parameters'!G153</f>
        <v>logInsightMasterIp.address=192.168.32.11</v>
      </c>
    </row>
    <row r="682" spans="1:1">
      <c r="A682" s="5" t="str">
        <f>"logInsightWorker1Ip.address="&amp;'Deploy Parameters'!G154</f>
        <v>logInsightWorker1Ip.address=192.168.32.12</v>
      </c>
    </row>
    <row r="683" spans="1:1">
      <c r="A683" s="5" t="str">
        <f>"logInsightWorker2Ip.address="&amp;'Deploy Parameters'!G155</f>
        <v>logInsightWorker2Ip.address=192.168.32.13</v>
      </c>
    </row>
    <row r="684" spans="1:1">
      <c r="A684" s="5" t="str">
        <f>"logInsightLoadBalancedIp.address="&amp;'Deploy Parameters'!G152</f>
        <v>logInsightLoadBalancedIp.address=192.168.32.10</v>
      </c>
    </row>
    <row r="685" spans="1:1">
      <c r="A685" s="1" t="s">
        <v>119</v>
      </c>
    </row>
    <row r="686" spans="1:1">
      <c r="A686" s="5" t="str">
        <f>"logInsight-master-deployment-vmname="&amp;'Deploy Parameters'!F153</f>
        <v>logInsight-master-deployment-vmname=lax01vrli01a</v>
      </c>
    </row>
    <row r="687" spans="1:1">
      <c r="A687" s="5" t="str">
        <f>"logInsight-worker-1-deployment-vmname="&amp;'Deploy Parameters'!F154</f>
        <v>logInsight-worker-1-deployment-vmname=lax01vrli01b</v>
      </c>
    </row>
    <row r="688" spans="1:1">
      <c r="A688" s="5" t="str">
        <f>"logInsight-worker-2-deployment-vmname="&amp;'Deploy Parameters'!F155</f>
        <v>logInsight-worker-2-deployment-vmname=lax01vrli01c</v>
      </c>
    </row>
    <row r="689" spans="1:1">
      <c r="A689" s="1" t="s">
        <v>389</v>
      </c>
    </row>
    <row r="690" spans="1:1">
      <c r="A690" s="5" t="str">
        <f>IF('Deploy Parameters'!J161="n/a","loginsight-loadbalancer-region-a.address=","loginsight-loadbalancer-region-a.address="&amp;'Deploy Parameters'!J161)</f>
        <v>loginsight-loadbalancer-region-a.address=sfo01vrli01.sfo01.rainpole.local</v>
      </c>
    </row>
    <row r="691" spans="1:1">
      <c r="A691" s="1" t="s">
        <v>398</v>
      </c>
    </row>
    <row r="692" spans="1:1">
      <c r="A692" s="5" t="str">
        <f>IF('Deploy Parameters'!J160="n/a","regionARegionSpecificNetwork.cidrNotation=","regionARegionSpecificNetwork.cidrNotation="&amp;'Deploy Parameters'!J160)</f>
        <v>regionARegionSpecificNetwork.cidrNotation=192.168.31.0/24</v>
      </c>
    </row>
    <row r="693" spans="1:1">
      <c r="A693" s="5" t="str">
        <f>IF('Deploy Parameters'!J162="n/a","logInsight-regiona-master.address=","logInsight-regiona-master.address="&amp;'Deploy Parameters'!J162)</f>
        <v>logInsight-regiona-master.address=192.168.31.11</v>
      </c>
    </row>
    <row r="694" spans="1:1">
      <c r="A694" s="5" t="str">
        <f>IF('Deploy Parameters'!J163="n/a","logInsight-regiona-worker1.address=","logInsight-regiona-worker1.address="&amp;'Deploy Parameters'!J163)</f>
        <v>logInsight-regiona-worker1.address=192.168.31.12</v>
      </c>
    </row>
    <row r="695" spans="1:1">
      <c r="A695" s="5" t="str">
        <f>IF('Deploy Parameters'!J164="n/a","logInsight-regiona-worker2.address=","logInsight-regiona-worker2.address="&amp;'Deploy Parameters'!J164)</f>
        <v>logInsight-regiona-worker2.address=192.168.31.13</v>
      </c>
    </row>
    <row r="696" spans="1:1">
      <c r="A696" s="5" t="str">
        <f>IF('Deploy Parameters'!J165="n/a","logInsight-regiona-admin.password=","logInsight-regiona-admin.password="&amp;'Deploy Parameters'!J165)</f>
        <v>logInsight-regiona-admin.password=VMware1!</v>
      </c>
    </row>
    <row r="697" spans="1:1">
      <c r="A697" s="5" t="str">
        <f>IF('Deploy Parameters'!J166="n/a","logInsight-regiona-root.password=","logInsight-regiona-root.password="&amp;'Deploy Parameters'!J166)</f>
        <v>logInsight-regiona-root.password=VMware1!</v>
      </c>
    </row>
    <row r="698" spans="1:1" s="3" customFormat="1">
      <c r="A698" s="6"/>
    </row>
    <row r="699" spans="1:1" s="3" customFormat="1">
      <c r="A699" s="3" t="s">
        <v>557</v>
      </c>
    </row>
    <row r="700" spans="1:1">
      <c r="A700" s="14" t="str">
        <f>IF('Deploy Parameters'!J57="n/a","domain-controller-names@value=","domain-controller-names@value="&amp;'Deploy Parameters'!J155)</f>
        <v>domain-controller-names@value=dc51rpl.rainpole.local</v>
      </c>
    </row>
    <row r="701" spans="1:1">
      <c r="A701" s="1" t="s">
        <v>149</v>
      </c>
    </row>
    <row r="702" spans="1:1">
      <c r="A702" s="5" t="str">
        <f>"log-insight-admin-credentials@password="&amp;'Users and Groups'!C35</f>
        <v>log-insight-admin-credentials@password=VMware1!</v>
      </c>
    </row>
    <row r="703" spans="1:1">
      <c r="A703" s="1" t="s">
        <v>150</v>
      </c>
    </row>
    <row r="704" spans="1:1">
      <c r="A704" s="5" t="str">
        <f>"log-insight-root-credentials@password="&amp;'Users and Groups'!C34</f>
        <v>log-insight-root-credentials@password=VMware1!</v>
      </c>
    </row>
    <row r="705" spans="1:1">
      <c r="A705" s="1" t="s">
        <v>151</v>
      </c>
    </row>
    <row r="706" spans="1:1">
      <c r="A706" s="1" t="s">
        <v>108</v>
      </c>
    </row>
    <row r="707" spans="1:1">
      <c r="A707" s="5" t="str">
        <f>"svc-loginsight-vc-ad-user.username="&amp;'Users and Groups'!B37</f>
        <v>svc-loginsight-vc-ad-user.username=svc-vrli</v>
      </c>
    </row>
    <row r="708" spans="1:1">
      <c r="A708" s="5" t="str">
        <f>"svc-loginsight-vc-ad-user.password="&amp;'Users and Groups'!C37</f>
        <v>svc-loginsight-vc-ad-user.password=VMware1!</v>
      </c>
    </row>
    <row r="709" spans="1:1">
      <c r="A709" s="1" t="s">
        <v>152</v>
      </c>
    </row>
    <row r="710" spans="1:1">
      <c r="A710" s="1" t="s">
        <v>153</v>
      </c>
    </row>
    <row r="711" spans="1:1">
      <c r="A711" s="5" t="str">
        <f>"svc-loginsight-ad-user.username="&amp;'Users and Groups'!B37</f>
        <v>svc-loginsight-ad-user.username=svc-vrli</v>
      </c>
    </row>
    <row r="712" spans="1:1">
      <c r="A712" s="5" t="str">
        <f>"svc-loginsight-ad-user.password="&amp;'Users and Groups'!C37</f>
        <v>svc-loginsight-ad-user.password=VMware1!</v>
      </c>
    </row>
    <row r="714" spans="1:1">
      <c r="A714" s="1" t="s">
        <v>154</v>
      </c>
    </row>
    <row r="715" spans="1:1">
      <c r="A715" s="5" t="str">
        <f>IF('Deploy Parameters'!F158="n/a","logInsightSmtp@server=","logInsightSmtp@server="&amp;'Deploy Parameters'!F158)</f>
        <v>logInsightSmtp@server=smtp.rainpole.local</v>
      </c>
    </row>
    <row r="716" spans="1:1">
      <c r="A716" s="5" t="str">
        <f>IF('Deploy Parameters'!F159="n/a","logInsightSmtp@port=","logInsightSmtp@port="&amp;'Deploy Parameters'!F159)</f>
        <v>logInsightSmtp@port=25</v>
      </c>
    </row>
    <row r="717" spans="1:1">
      <c r="A717" s="5" t="str">
        <f>IF('Deploy Parameters'!F160="n/a","logInsightSmtp@senderEmail=","logInsightSmtp@senderEmail="&amp;'Deploy Parameters'!F160)</f>
        <v>logInsightSmtp@senderEmail=vrli-do-not-reply@rainpole.local</v>
      </c>
    </row>
    <row r="718" spans="1:1">
      <c r="A718" s="5" t="str">
        <f>IF('Deploy Parameters'!F161="n/a","logInsightSmtp@senderName=","logInsightSmtp@senderName="&amp;'Deploy Parameters'!F161)</f>
        <v>logInsightSmtp@senderName=vRLI Administrator</v>
      </c>
    </row>
    <row r="719" spans="1:1">
      <c r="A719" s="1" t="s">
        <v>224</v>
      </c>
    </row>
    <row r="720" spans="1:1">
      <c r="A720" s="5" t="str">
        <f>"logInsightSmtp@secureConnection="&amp;'Deploy Parameters'!F162</f>
        <v>logInsightSmtp@secureConnection=false</v>
      </c>
    </row>
    <row r="721" spans="1:1" s="6" customFormat="1">
      <c r="A721" s="7" t="str">
        <f>"logInsight-ad-and-smtp-configuration@useSslForAdIntegration="&amp;'Deploy Parameters'!F165</f>
        <v>logInsight-ad-and-smtp-configuration@useSslForAdIntegration=false</v>
      </c>
    </row>
    <row r="722" spans="1:1">
      <c r="A722" s="6" t="s">
        <v>244</v>
      </c>
    </row>
    <row r="723" spans="1:1">
      <c r="A723" s="5" t="str">
        <f>"logInsightSmtp@requiresAuthentication="&amp;'Deploy Parameters'!F167</f>
        <v>logInsightSmtp@requiresAuthentication=false</v>
      </c>
    </row>
    <row r="724" spans="1:1">
      <c r="A724" s="5" t="str">
        <f>IF('Deploy Parameters'!F168="n/a","log-insight-smtp-credentials.username=","log-insight-smtp-credentials.username="&amp;'Deploy Parameters'!F168)</f>
        <v>log-insight-smtp-credentials.username=</v>
      </c>
    </row>
    <row r="725" spans="1:1">
      <c r="A725" s="5" t="str">
        <f>IF('Deploy Parameters'!F169="n/a","log-insight-smtp-credentials.password=","log-insight-smtp-credentials.password="&amp;'Deploy Parameters'!F169)</f>
        <v>log-insight-smtp-credentials.password=</v>
      </c>
    </row>
    <row r="726" spans="1:1">
      <c r="A726" s="1" t="s">
        <v>155</v>
      </c>
    </row>
    <row r="727" spans="1:1">
      <c r="A727" s="7" t="str">
        <f>IF('Deploy Parameters'!F163="n/a","loginsight-admin-email@value=","loginsight-admin-email@value="&amp;'Deploy Parameters'!F163)</f>
        <v>loginsight-admin-email@value=administrator@rainpole.local</v>
      </c>
    </row>
    <row r="728" spans="1:1">
      <c r="A728" s="5" t="str">
        <f>IF('Deploy Parameters'!F164="n/a","loginsight-alert-emails@value=","loginsight-alert-emails@value="&amp;'Deploy Parameters'!F164)</f>
        <v>loginsight-alert-emails@value=support-team@rainpole.local</v>
      </c>
    </row>
    <row r="730" spans="1:1">
      <c r="A730" s="1" t="s">
        <v>282</v>
      </c>
    </row>
    <row r="731" spans="1:1">
      <c r="A731" s="5" t="str">
        <f>"logInsight-data-archiving.address="&amp;'Deploy Parameters'!J152</f>
        <v>logInsight-data-archiving.address=nfs-server-address</v>
      </c>
    </row>
    <row r="732" spans="1:1">
      <c r="A732" s="5" t="str">
        <f>"logInsight-data-archiving.sharedFolder="&amp;'Deploy Parameters'!J153</f>
        <v>logInsight-data-archiving.sharedFolder=/VVD_vRLI_MgmtB_400GB</v>
      </c>
    </row>
    <row r="734" spans="1:1">
      <c r="A734" s="1" t="s">
        <v>404</v>
      </c>
    </row>
    <row r="735" spans="1:1">
      <c r="A735" s="1" t="s">
        <v>405</v>
      </c>
    </row>
    <row r="736" spans="1:1">
      <c r="A736" s="5" t="str">
        <f>IF('Deploy Parameters'!J167="n/a","region-b-vrli-sub-domain-prefix@value=","region-b-vrli-sub-domain-prefix@value="&amp;'Deploy Parameters'!J167)</f>
        <v>region-b-vrli-sub-domain-prefix@value=lax01</v>
      </c>
    </row>
    <row r="737" spans="1:1">
      <c r="A737" s="5" t="str">
        <f>IF('Deploy Parameters'!J159="n/a","region-a-vrli-sub-domain-prefix@value=","region-a-vrli-sub-domain-prefix@value="&amp;'Deploy Parameters'!J159)</f>
        <v>region-a-vrli-sub-domain-prefix@value=sfo01</v>
      </c>
    </row>
    <row r="739" spans="1:1">
      <c r="A739" s="1" t="s">
        <v>1123</v>
      </c>
    </row>
    <row r="740" spans="1:1">
      <c r="A740" s="1" t="s">
        <v>1124</v>
      </c>
    </row>
    <row r="741" spans="1:1">
      <c r="A741" s="5" t="str">
        <f>IF('Deploy Parameters'!G172="n/a","umds-IpAddress=","umds-IpAddress="&amp;'Deploy Parameters'!G172)</f>
        <v>umds-IpAddress=172.17.11.67</v>
      </c>
    </row>
    <row r="742" spans="1:1">
      <c r="A742" s="1" t="s">
        <v>1125</v>
      </c>
    </row>
    <row r="743" spans="1:1">
      <c r="A743" s="5" t="str">
        <f>IF('Users and Groups'!B38="n/a","umds-credentials.user=","umds-credentials.user="&amp;'Users and Groups'!B38)</f>
        <v>umds-credentials.user=svc-umds</v>
      </c>
    </row>
    <row r="744" spans="1:1">
      <c r="A744" s="5" t="str">
        <f>IF('Users and Groups'!C38="n/a","umds-credentials.password=","umds-credentials.password="&amp;'Users and Groups'!C38)</f>
        <v>umds-credentials.password=VMware1!</v>
      </c>
    </row>
    <row r="746" spans="1:1">
      <c r="A746" s="1" t="s">
        <v>368</v>
      </c>
    </row>
    <row r="747" spans="1:1">
      <c r="A747" s="1" t="s">
        <v>362</v>
      </c>
    </row>
    <row r="748" spans="1:1">
      <c r="A748" s="5" t="str">
        <f>IF('Users and Groups'!C49="n/a","vr-va-root-credentials@password=","vr-va-root-credentials@password="&amp;'Users and Groups'!C49)</f>
        <v>vr-va-root-credentials@password=VMware1!</v>
      </c>
    </row>
    <row r="749" spans="1:1">
      <c r="A749" s="1" t="s">
        <v>366</v>
      </c>
    </row>
    <row r="750" spans="1:1">
      <c r="A750" s="5" t="str">
        <f>IF('Hosts and Networks'!D12="n/a","vrStorageTrafficIp.address=","vrStorageTrafficIp.address="&amp;'Deploy Parameters'!G183)</f>
        <v>vrStorageTrafficIp.address=172.17.16.100</v>
      </c>
    </row>
    <row r="751" spans="1:1">
      <c r="A751" s="5" t="str">
        <f>IF('Deploy Parameters'!F182="n/a","vr-deployment-vmname=","vr-deployment-vmname="&amp;'Deploy Parameters'!F182)</f>
        <v>vr-deployment-vmname=lax01m01vrms01</v>
      </c>
    </row>
    <row r="752" spans="1:1">
      <c r="A752" s="5" t="str">
        <f>IF('Deploy Parameters'!G182="n/a","vrIp.address=","vrIp.address="&amp;'Deploy Parameters'!G182)</f>
        <v>vrIp.address=172.17.11.123</v>
      </c>
    </row>
    <row r="754" spans="1:1">
      <c r="A754" s="1" t="s">
        <v>363</v>
      </c>
    </row>
    <row r="755" spans="1:1">
      <c r="A755" s="5" t="str">
        <f>IF('Deploy Parameters'!G175="n/a","srm-vm-deployment.address=","srm-vm-deployment.address="&amp;'Deploy Parameters'!G175)</f>
        <v>srm-vm-deployment.address=172.17.11.124</v>
      </c>
    </row>
    <row r="756" spans="1:1">
      <c r="A756" s="5" t="str">
        <f>IF('Users and Groups'!B47="n/a","srm-vm-deployment.username=","srm-vm-deployment.username="&amp;'Users and Groups'!B47)</f>
        <v>srm-vm-deployment.username=Administrator</v>
      </c>
    </row>
    <row r="757" spans="1:1">
      <c r="A757" s="5" t="str">
        <f>IF('Users and Groups'!C47="n/a","srm-vm-deployment.password=","srm-vm-deployment.password="&amp;'Users and Groups'!C47)</f>
        <v>srm-vm-deployment.password=VMware1!</v>
      </c>
    </row>
    <row r="758" spans="1:1">
      <c r="A758" s="1" t="s">
        <v>364</v>
      </c>
    </row>
    <row r="759" spans="1:1">
      <c r="A759" s="5" t="s">
        <v>538</v>
      </c>
    </row>
    <row r="760" spans="1:1">
      <c r="A760" s="5" t="s">
        <v>539</v>
      </c>
    </row>
    <row r="761" spans="1:1">
      <c r="A761" s="1" t="s">
        <v>365</v>
      </c>
    </row>
    <row r="762" spans="1:1">
      <c r="A762" s="5" t="str">
        <f>IF('Deploy Parameters'!F176="n/a","srm-deployment@dsn=","srm-deployment@dsn="&amp;'Deploy Parameters'!F176)</f>
        <v>srm-deployment@dsn=srm_site_lax01</v>
      </c>
    </row>
    <row r="763" spans="1:1">
      <c r="A763" s="5" t="str">
        <f>IF('Deploy Parameters'!F177="n/a","srm-deployment@dbPort=","srm-deployment@dbPort="&amp;'Deploy Parameters'!F177)</f>
        <v>srm-deployment@dbPort=5678</v>
      </c>
    </row>
    <row r="764" spans="1:1">
      <c r="A764" s="5" t="str">
        <f>IF('Deploy Parameters'!F178="n/a","srm-deployment@administratorEmail=","srm-deployment@administratorEmail="&amp;'Deploy Parameters'!F178)</f>
        <v>srm-deployment@administratorEmail=administrator@rainpole.local</v>
      </c>
    </row>
    <row r="765" spans="1:1">
      <c r="A765" s="1" t="s">
        <v>1045</v>
      </c>
    </row>
    <row r="766" spans="1:1">
      <c r="A766" s="5" t="str">
        <f>IF('Deploy Parameters'!J190="n/a","srm-regiona-placeholder-datastore=","srm-regiona-placeholder-datastore="&amp;'Deploy Parameters'!J190)</f>
        <v>srm-regiona-placeholder-datastore=sfo01-m01-vsan</v>
      </c>
    </row>
    <row r="767" spans="1:1">
      <c r="A767" s="5" t="str">
        <f>IF('Deploy Parameters'!F179="n/a","srm-regionb-placeholder-datastore=","srm-regionb-placeholder-datastore="&amp;'Deploy Parameters'!F179)</f>
        <v>srm-regionb-placeholder-datastore=lax01-m01-nfs01</v>
      </c>
    </row>
    <row r="769" spans="1:1">
      <c r="A769" s="1" t="s">
        <v>388</v>
      </c>
    </row>
    <row r="770" spans="1:1">
      <c r="A770" s="5" t="str">
        <f>IF('Deploy Parameters'!J181="n/a","vr-remote-configuration.address=","vr-remote-configuration.address="&amp;'Deploy Parameters'!J181)</f>
        <v>vr-remote-configuration.address=172.16.11.123</v>
      </c>
    </row>
    <row r="771" spans="1:1">
      <c r="A771" s="5" t="str">
        <f>IF('Deploy Parameters'!J180="n/a","srm-remote-deployment.address=","srm-remote-deployment.address="&amp;'Deploy Parameters'!J180)</f>
        <v>srm-remote-deployment.address=172.16.11.124</v>
      </c>
    </row>
    <row r="772" spans="1:1">
      <c r="A772" s="1" t="s">
        <v>397</v>
      </c>
    </row>
    <row r="773" spans="1:1">
      <c r="A773" s="5" t="str">
        <f>IF('Deploy Parameters'!J176="n/a","remoteMgmtReplication.ipaddress=","remoteMgmtReplication.ipaddress="&amp;'Deploy Parameters'!J176)</f>
        <v>remoteMgmtReplication.ipaddress=172.16.16.100</v>
      </c>
    </row>
    <row r="774" spans="1:1">
      <c r="A774" s="5" t="str">
        <f>IF('Deploy Parameters'!J178="n/a","remoteMgmtReplicationNetwork.gateway=","remoteMgmtReplicationNetwork.gateway="&amp;'Deploy Parameters'!J178)</f>
        <v>remoteMgmtReplicationNetwork.gateway=172.16.16.253</v>
      </c>
    </row>
    <row r="775" spans="1:1">
      <c r="A775" s="5" t="str">
        <f>IF('Deploy Parameters'!J177="n/a","remoteMgmtReplicationNetwork.cidrNotation=","remoteMgmtReplicationNetwork.cidrNotation="&amp;'Deploy Parameters'!J177)</f>
        <v>remoteMgmtReplicationNetwork.cidrNotation=172.16.16.0/24</v>
      </c>
    </row>
    <row r="777" spans="1:1">
      <c r="A777" s="1" t="s">
        <v>521</v>
      </c>
    </row>
    <row r="778" spans="1:1">
      <c r="A778" s="5" t="str">
        <f>IF('Users and Groups'!B50="n/a","svc-vr-ad-user.username=","svc-vr-ad-user.username="&amp;'Users and Groups'!B50)</f>
        <v>svc-vr-ad-user.username=svc-vr</v>
      </c>
    </row>
    <row r="779" spans="1:1">
      <c r="A779" s="5" t="str">
        <f>IF('Users and Groups'!C50="n/a","svc-vr-ad-user.password=","svc-vr-ad-user.password="&amp;'Users and Groups'!C50)</f>
        <v>svc-vr-ad-user.password=VMware1!</v>
      </c>
    </row>
    <row r="780" spans="1:1">
      <c r="A780" s="1" t="s">
        <v>522</v>
      </c>
    </row>
    <row r="781" spans="1:1">
      <c r="A781" s="5" t="str">
        <f>IF('Users and Groups'!B48="n/a","svc-srm-ad-user.username=","svc-srm-ad-user.username="&amp;'Users and Groups'!B48)</f>
        <v>svc-srm-ad-user.username=svc-srm</v>
      </c>
    </row>
    <row r="782" spans="1:1">
      <c r="A782" s="5" t="str">
        <f>IF('Users and Groups'!C48="n/a","svc-srm-ad-user.password=","svc-srm-ad-user.password="&amp;'Users and Groups'!C48)</f>
        <v>svc-srm-ad-user.password=VMware1!</v>
      </c>
    </row>
    <row r="783" spans="1:1">
      <c r="A783" s="6"/>
    </row>
    <row r="784" spans="1:1">
      <c r="A784" s="1" t="s">
        <v>462</v>
      </c>
    </row>
    <row r="785" spans="1:1" s="6" customFormat="1">
      <c r="A785" s="5" t="str">
        <f>IF('Deploy Parameters'!J179="n/a","regionAManagementNetwork.cidrNotation=","regionAManagementNetwork.cidrNotation="&amp;'Deploy Parameters'!J179)</f>
        <v>regionAManagementNetwork.cidrNotation=172.16.11.0/24</v>
      </c>
    </row>
    <row r="786" spans="1:1" s="6" customFormat="1"/>
    <row r="787" spans="1:1" s="6" customFormat="1">
      <c r="A787" s="1" t="s">
        <v>560</v>
      </c>
    </row>
    <row r="788" spans="1:1" s="6" customFormat="1">
      <c r="A788" s="5" t="str">
        <f>IF('Deploy Parameters'!J185="n/a","vr-region-a.password=","vr-region-a.password="&amp;'Deploy Parameters'!J185)</f>
        <v>vr-region-a.password=VMware1!</v>
      </c>
    </row>
    <row r="789" spans="1:1" s="6" customFormat="1"/>
    <row r="790" spans="1:1" s="6" customFormat="1">
      <c r="A790" s="6" t="s">
        <v>561</v>
      </c>
    </row>
    <row r="791" spans="1:1" s="6" customFormat="1">
      <c r="A791" s="5" t="str">
        <f>IF('Deploy Parameters'!J186="n/a","esxi.region-a-mgmt-1.address=","esxi.region-a-mgmt-1.address="&amp;'Deploy Parameters'!J186)</f>
        <v>esxi.region-a-mgmt-1.address=172.16.11.101</v>
      </c>
    </row>
    <row r="792" spans="1:1" s="6" customFormat="1">
      <c r="A792" s="5" t="str">
        <f>IF('Deploy Parameters'!J187="n/a","esxi.region-a-mgmt-2.address=","esxi.region-a-mgmt-2.address="&amp;'Deploy Parameters'!J187)</f>
        <v>esxi.region-a-mgmt-2.address=172.16.11.102</v>
      </c>
    </row>
    <row r="793" spans="1:1" s="6" customFormat="1">
      <c r="A793" s="5" t="str">
        <f>IF('Deploy Parameters'!J188="n/a","esxi.region-a-mgmt-3.address=","esxi.region-a-mgmt-3.address="&amp;'Deploy Parameters'!J188)</f>
        <v>esxi.region-a-mgmt-3.address=172.16.11.103</v>
      </c>
    </row>
    <row r="794" spans="1:1" s="6" customFormat="1">
      <c r="A794" s="5" t="str">
        <f>IF('Deploy Parameters'!J189="n/a","esxi.region-a-mgmt-4.address=","esxi.region-a-mgmt-4.address="&amp;'Deploy Parameters'!J189)</f>
        <v>esxi.region-a-mgmt-4.address=172.16.11.104</v>
      </c>
    </row>
    <row r="795" spans="1:1">
      <c r="A795" s="6"/>
    </row>
    <row r="796" spans="1:1">
      <c r="A796" s="1" t="s">
        <v>156</v>
      </c>
    </row>
    <row r="797" spans="1:1">
      <c r="A797" s="5" t="str">
        <f>"keystore.password="&amp;'Deploy Parameters'!F193</f>
        <v>keystore.password=VMware1!</v>
      </c>
    </row>
    <row r="799" spans="1:1">
      <c r="A799" s="1" t="s">
        <v>207</v>
      </c>
    </row>
    <row r="800" spans="1:1">
      <c r="A800" s="1" t="s">
        <v>208</v>
      </c>
    </row>
    <row r="801" spans="1:1">
      <c r="A801" s="5" t="str">
        <f>"local-dns-records@records['vcenterManagementPscIp1']="&amp;'Deploy Parameters'!F27</f>
        <v>local-dns-records@records['vcenterManagementPscIp1']=lax01m01psc01</v>
      </c>
    </row>
    <row r="802" spans="1:1">
      <c r="A802" s="5" t="str">
        <f>"local-dns-records@records['vcenterManagementIp']="&amp;'Deploy Parameters'!F26</f>
        <v>local-dns-records@records['vcenterManagementIp']=lax01m01vc01</v>
      </c>
    </row>
    <row r="803" spans="1:1">
      <c r="A803" s="5" t="str">
        <f>"local-dns-records@records['vcenterComputePscIp1']="&amp;'Deploy Parameters'!F30</f>
        <v>local-dns-records@records['vcenterComputePscIp1']=lax01w01psc01</v>
      </c>
    </row>
    <row r="804" spans="1:1">
      <c r="A804" s="5" t="str">
        <f>"local-dns-records@records['vcenterComputeIp']="&amp;'Deploy Parameters'!F29</f>
        <v>local-dns-records@records['vcenterComputeIp']=lax01w01vc01</v>
      </c>
    </row>
    <row r="805" spans="1:1">
      <c r="A805" s="5" t="str">
        <f>"local-dns-records@records['nsxManagementIp']="&amp;'Deploy Parameters'!F58</f>
        <v>local-dns-records@records['nsxManagementIp']=lax01m01nsx01</v>
      </c>
    </row>
    <row r="806" spans="1:1">
      <c r="A806" s="5" t="str">
        <f>"local-dns-records@records['nsxComputeIp']="&amp;'Deploy Parameters'!J58</f>
        <v>local-dns-records@records['nsxComputeIp']=lax01w01nsx01</v>
      </c>
    </row>
    <row r="807" spans="1:1">
      <c r="A807" s="5" t="str">
        <f>IF('Deploy Parameters'!F182="n/a","local-dns-records@records['vrIp']=","local-dns-records@records['vrIp']="&amp;'Deploy Parameters'!F182)</f>
        <v>local-dns-records@records['vrIp']=lax01m01vrms01</v>
      </c>
    </row>
    <row r="808" spans="1:1">
      <c r="A808" s="5" t="str">
        <f>IF('Deploy Parameters'!F175="n/a","local-dns-records@records['srmIp']=","local-dns-records@records['srmIp']="&amp;'Deploy Parameters'!F175)</f>
        <v>local-dns-records@records['srmIp']=lax01m01srm01</v>
      </c>
    </row>
    <row r="809" spans="1:1">
      <c r="A809" s="5" t="str">
        <f>"local-dns-records@zoneName="&amp;'Deploy Parameters'!J7</f>
        <v>local-dns-records@zoneName=lax01.rainpole.local</v>
      </c>
    </row>
    <row r="811" spans="1:1">
      <c r="A811" s="1" t="s">
        <v>209</v>
      </c>
    </row>
    <row r="812" spans="1:1">
      <c r="A812" s="5" t="str">
        <f>"local-dns-records@records['iasIp1']="&amp;'Deploy Parameters'!F115</f>
        <v>local-dns-records@records['iasIp1']=lax01ias01a</v>
      </c>
    </row>
    <row r="813" spans="1:1">
      <c r="A813" s="5" t="str">
        <f>"local-dns-records@records['iasIp2']="&amp;'Deploy Parameters'!F116</f>
        <v>local-dns-records@records['iasIp2']=lax01ias01b</v>
      </c>
    </row>
    <row r="814" spans="1:1">
      <c r="A814" s="11" t="str">
        <f>"local-dns-records@records['vrbCollectorIp']="&amp;'Deploy Parameters'!F139</f>
        <v>local-dns-records@records['vrbCollectorIp']=lax01vrbc01</v>
      </c>
    </row>
    <row r="816" spans="1:1">
      <c r="A816" s="1" t="s">
        <v>210</v>
      </c>
    </row>
    <row r="817" spans="1:1">
      <c r="A817" s="5" t="str">
        <f>"local-dns-records@records['vropsCollectorIp1']="&amp;'Deploy Parameters'!F145</f>
        <v>local-dns-records@records['vropsCollectorIp1']=lax01vropsc01a</v>
      </c>
    </row>
    <row r="818" spans="1:1">
      <c r="A818" s="5" t="str">
        <f>"local-dns-records@records['vropsCollectorIp2']="&amp;'Deploy Parameters'!F146</f>
        <v>local-dns-records@records['vropsCollectorIp2']=lax01vropsc01b</v>
      </c>
    </row>
    <row r="819" spans="1:1">
      <c r="A819" s="5" t="str">
        <f>"local-dns-records@records['logInsightLoadBalancedIp']="&amp;'Deploy Parameters'!F152</f>
        <v>local-dns-records@records['logInsightLoadBalancedIp']=lax01vrli01</v>
      </c>
    </row>
    <row r="820" spans="1:1">
      <c r="A820" s="5" t="str">
        <f>"local-dns-records@records['logInsightMasterIp']="&amp;'Deploy Parameters'!F153</f>
        <v>local-dns-records@records['logInsightMasterIp']=lax01vrli01a</v>
      </c>
    </row>
    <row r="821" spans="1:1">
      <c r="A821" s="5" t="str">
        <f>"local-dns-records@records['logInsightWorker1Ip']="&amp;'Deploy Parameters'!F154</f>
        <v>local-dns-records@records['logInsightWorker1Ip']=lax01vrli01b</v>
      </c>
    </row>
    <row r="822" spans="1:1">
      <c r="A822" s="5" t="str">
        <f>"local-dns-records@records['logInsightWorker2Ip']="&amp;'Deploy Parameters'!F155</f>
        <v>local-dns-records@records['logInsightWorker2Ip']=lax01vrli01c</v>
      </c>
    </row>
    <row r="823" spans="1:1" s="18" customFormat="1">
      <c r="A823" s="1"/>
    </row>
    <row r="824" spans="1:1" s="18" customFormat="1">
      <c r="A824" s="3" t="s">
        <v>496</v>
      </c>
    </row>
    <row r="825" spans="1:1" s="18" customFormat="1">
      <c r="A825" s="3" t="s">
        <v>501</v>
      </c>
    </row>
    <row r="826" spans="1:1" s="18" customFormat="1">
      <c r="A826" s="3" t="s">
        <v>477</v>
      </c>
    </row>
    <row r="827" spans="1:1" s="18" customFormat="1">
      <c r="A827" s="14" t="str">
        <f>IF('Deploy Parameters'!F31="n/a","psc-load-balancer-edge-name@value=","psc-load-balancer-edge-name@value="&amp;'Deploy Parameters'!F31)</f>
        <v>psc-load-balancer-edge-name@value=lax01psc01</v>
      </c>
    </row>
    <row r="828" spans="1:1" s="18" customFormat="1">
      <c r="A828" s="14" t="str">
        <f>IF('Deploy Parameters'!G31="n/a","pscLbIp.address=","pscLbIp.address="&amp;'Deploy Parameters'!G31)</f>
        <v>pscLbIp.address=172.17.11.71</v>
      </c>
    </row>
    <row r="829" spans="1:1" s="18" customFormat="1">
      <c r="A829" s="3"/>
    </row>
    <row r="830" spans="1:1" s="18" customFormat="1">
      <c r="A830" s="3" t="s">
        <v>478</v>
      </c>
    </row>
    <row r="831" spans="1:1" s="18" customFormat="1">
      <c r="A831" s="3" t="s">
        <v>479</v>
      </c>
    </row>
    <row r="832" spans="1:1" s="18" customFormat="1">
      <c r="A832" s="3"/>
    </row>
    <row r="833" spans="1:1" s="18" customFormat="1">
      <c r="A833" s="3" t="s">
        <v>480</v>
      </c>
    </row>
    <row r="834" spans="1:1" s="18" customFormat="1">
      <c r="A834" s="3" t="s">
        <v>481</v>
      </c>
    </row>
    <row r="835" spans="1:1" s="18" customFormat="1">
      <c r="A835" s="12" t="str">
        <f>IF('Deploy Parameters'!J7="n/a","local-ad-forward-records@zoneName="&amp;'Deploy Parameters'!J6,"local-ad-forward-records@zoneName="&amp;'Deploy Parameters'!J7)</f>
        <v>local-ad-forward-records@zoneName=lax01.rainpole.local</v>
      </c>
    </row>
    <row r="836" spans="1:1" s="18" customFormat="1">
      <c r="A836" s="14" t="str">
        <f>IF('Deploy Parameters'!J15="n/a","local-ad-forward-records@forwardRecords['vcenterManagementPscIp1']=","local-ad-forward-records@forwardRecords['vcenterManagementPscIp1']="&amp;'Deploy Parameters'!F31)</f>
        <v>local-ad-forward-records@forwardRecords['vcenterManagementPscIp1']=lax01psc01</v>
      </c>
    </row>
    <row r="837" spans="1:1" s="18" customFormat="1">
      <c r="A837" s="3"/>
    </row>
    <row r="838" spans="1:1" s="18" customFormat="1">
      <c r="A838" s="3" t="s">
        <v>482</v>
      </c>
    </row>
    <row r="839" spans="1:1" s="18" customFormat="1">
      <c r="A839" s="12" t="str">
        <f>IF('Deploy Parameters'!J7="n/a","local-ad-ptr-records@zoneName="&amp;'Deploy Parameters'!J6,"local-ad-ptr-records@zoneName="&amp;'Deploy Parameters'!J7)</f>
        <v>local-ad-ptr-records@zoneName=lax01.rainpole.local</v>
      </c>
    </row>
    <row r="840" spans="1:1">
      <c r="A840" s="14" t="str">
        <f>IF('Users and Groups'!B15="n/a","local-ad-ptr-records@ptrRecords['pscLbIp']=","local-ad-ptr-records@ptrRecords['pscLbIp']="&amp;'Deploy Parameters'!F31)</f>
        <v>local-ad-ptr-records@ptrRecords['pscLbIp']=lax01psc01</v>
      </c>
    </row>
    <row r="842" spans="1:1" customFormat="1">
      <c r="A842" s="1" t="s">
        <v>704</v>
      </c>
    </row>
    <row r="843" spans="1:1">
      <c r="A843" t="s">
        <v>227</v>
      </c>
    </row>
    <row r="844" spans="1:1">
      <c r="A844" t="s">
        <v>463</v>
      </c>
    </row>
    <row r="845" spans="1:1">
      <c r="A845" s="12" t="str">
        <f>"vcenter-compute-deployment@deploymentModel="&amp;'Run Parameters'!C24</f>
        <v>vcenter-compute-deployment@deploymentModel=large</v>
      </c>
    </row>
    <row r="846" spans="1:1">
      <c r="A846" s="12" t="str">
        <f>"vcenter-mgmt-deployment@deploymentModel="&amp;'Run Parameters'!C23</f>
        <v>vcenter-mgmt-deployment@deploymentModel=small</v>
      </c>
    </row>
    <row r="847" spans="1:1">
      <c r="A847" s="13" t="s">
        <v>464</v>
      </c>
    </row>
    <row r="848" spans="1:1">
      <c r="A848" s="12" t="str">
        <f>"logInsight-deployment@deploymentModel="&amp;'Run Parameters'!C26</f>
        <v>logInsight-deployment@deploymentModel=medium</v>
      </c>
    </row>
    <row r="849" spans="1:1">
      <c r="A849" s="13" t="s">
        <v>465</v>
      </c>
    </row>
    <row r="850" spans="1:1">
      <c r="A850" s="12" t="str">
        <f>"vrops-remote-collector-deployment@deploymentModel="&amp;'Run Parameters'!C28</f>
        <v>vrops-remote-collector-deployment@deploymentModel=smallrc</v>
      </c>
    </row>
    <row r="852" spans="1:1">
      <c r="A852" s="1" t="s">
        <v>471</v>
      </c>
    </row>
    <row r="853" spans="1:1">
      <c r="A853" s="14" t="str">
        <f>"esg-01-mgmt-edge-device-creation@applianceSize="&amp;'Run Parameters'!F24</f>
        <v>esg-01-mgmt-edge-device-creation@applianceSize=large</v>
      </c>
    </row>
    <row r="854" spans="1:1">
      <c r="A854" s="14" t="str">
        <f>"esg-02-mgmt-edge-device-creation@applianceSize="&amp;'Run Parameters'!F25</f>
        <v>esg-02-mgmt-edge-device-creation@applianceSize=large</v>
      </c>
    </row>
    <row r="855" spans="1:1">
      <c r="A855" s="14" t="str">
        <f>"mgmt-load-balancer-creation@applianceSize="&amp;'Run Parameters'!F26</f>
        <v>mgmt-load-balancer-creation@applianceSize=large</v>
      </c>
    </row>
    <row r="857" spans="1:1">
      <c r="A857" s="1" t="s">
        <v>472</v>
      </c>
    </row>
    <row r="858" spans="1:1">
      <c r="A858" s="14" t="str">
        <f>"esg-01-compute-edge-device-creation@applianceSize="&amp;'Run Parameters'!F29</f>
        <v>esg-01-compute-edge-device-creation@applianceSize=large</v>
      </c>
    </row>
    <row r="859" spans="1:1" s="6" customFormat="1">
      <c r="A859" s="14" t="str">
        <f>"esg-02-compute-edge-device-creation@applianceSize="&amp;'Run Parameters'!F30</f>
        <v>esg-02-compute-edge-device-creation@applianceSize=large</v>
      </c>
    </row>
    <row r="860" spans="1:1">
      <c r="A860" s="15"/>
    </row>
    <row r="861" spans="1:1">
      <c r="A861" s="1" t="s">
        <v>738</v>
      </c>
    </row>
    <row r="862" spans="1:1">
      <c r="A862" s="14" t="str">
        <f>IF('Run Parameters'!F11="No","skip-bgp-validation@value=false","skip-bgp-validation@value=true")</f>
        <v>skip-bgp-validation@value=false</v>
      </c>
    </row>
    <row r="863" spans="1:1">
      <c r="A863" s="3"/>
    </row>
    <row r="864" spans="1:1">
      <c r="A864" s="1" t="s">
        <v>1128</v>
      </c>
    </row>
    <row r="865" spans="1:1">
      <c r="A865" s="14" t="str">
        <f>IF('Run Parameters'!F14="No","excludedComponent.VsphereHostProfiles=false","excludedComponent.VsphereHostProfiles=true")</f>
        <v>excludedComponent.VsphereHostProfiles=false</v>
      </c>
    </row>
    <row r="866" spans="1:1">
      <c r="A866" s="15"/>
    </row>
    <row r="867" spans="1:1" s="6" customFormat="1">
      <c r="A867" s="1" t="s">
        <v>683</v>
      </c>
    </row>
    <row r="868" spans="1:1" s="6" customFormat="1">
      <c r="A868" s="12" t="str">
        <f>IF('Run Parameters'!F12="No","skip-esx-joinDomain-mgmt=false","skip-esx-joinDomain-mgmt=true")</f>
        <v>skip-esx-joinDomain-mgmt=false</v>
      </c>
    </row>
    <row r="869" spans="1:1" s="6" customFormat="1">
      <c r="A869" s="12" t="str">
        <f>IF('Run Parameters'!F13="No","skip-esx-joinDomain-comp=false","skip-esx-joinDomain-comp=true")</f>
        <v>skip-esx-joinDomain-comp=false</v>
      </c>
    </row>
    <row r="870" spans="1:1" s="6" customFormat="1">
      <c r="A870" s="15"/>
    </row>
    <row r="871" spans="1:1">
      <c r="A871" s="1" t="s">
        <v>680</v>
      </c>
    </row>
    <row r="872" spans="1:1">
      <c r="A872" s="14" t="str">
        <f>IF('Run Parameters'!C9="No","excludedComponent.VROPS=true","excludedComponent.VROPS=false")</f>
        <v>excludedComponent.VROPS=false</v>
      </c>
    </row>
    <row r="873" spans="1:1">
      <c r="A873" s="14" t="str">
        <f>IF('Run Parameters'!C10="No","excludedComponent.LogInsight=true","excludedComponent.LogInsight=false")</f>
        <v>excludedComponent.LogInsight=false</v>
      </c>
    </row>
    <row r="874" spans="1:1">
      <c r="A874" s="14" t="str">
        <f>IF('Run Parameters'!C13="No","excludedComponent.VRA=true","excludedComponent.VRA=false")</f>
        <v>excludedComponent.VRA=false</v>
      </c>
    </row>
    <row r="875" spans="1:1">
      <c r="A875" s="14" t="str">
        <f>IF('Run Parameters'!C14="No","excludedComponent.VRB=true","excludedComponent.VRB=false")</f>
        <v>excludedComponent.VRB=false</v>
      </c>
    </row>
    <row r="876" spans="1:1">
      <c r="A876" s="14" t="str">
        <f>IF('Run Parameters'!C16="No","excludedComponent.DRDeployment=true","excludedComponent.DRDeployment=false")</f>
        <v>excludedComponent.DRDeployment=false</v>
      </c>
    </row>
    <row r="877" spans="1:1">
      <c r="A877" s="14" t="str">
        <f>IF('Run Parameters'!F15="No","excludedComponent.DRConfiguration=false","excludedComponent.DRConfiguration=true")</f>
        <v>excludedComponent.DRConfiguration=false</v>
      </c>
    </row>
    <row r="878" spans="1:1">
      <c r="A878" s="14" t="str">
        <f>IF('Run Parameters'!C11="No","excludedComponent.UMDS=true","excludedComponent.UMDS=false")</f>
        <v>excludedComponent.UMDS=false</v>
      </c>
    </row>
    <row r="879" spans="1:1">
      <c r="A879" s="14" t="str">
        <f>IF('Run Parameters'!F17="No","excludedComponent.VRATenantContent=true","excludedComponent.VRATenantContent=false")</f>
        <v>excludedComponent.VRATenantContent=true</v>
      </c>
    </row>
    <row r="880" spans="1:1">
      <c r="A880" s="1" t="s">
        <v>681</v>
      </c>
    </row>
    <row r="881" spans="1:1">
      <c r="A881" s="14" t="str">
        <f>IF('Run Parameters'!F8="No","excludedComponent.VSAN-mgmt=false","excludedComponent.VSAN-mgmt=true")</f>
        <v>excludedComponent.VSAN-mgmt=false</v>
      </c>
    </row>
    <row r="882" spans="1:1">
      <c r="A882" s="14" t="str">
        <f>IF('Run Parameters'!F9="No","excludedComponent.VSAN-compute=false","excludedComponent.VSAN-compute=true")</f>
        <v>excludedComponent.VSAN-compute=false</v>
      </c>
    </row>
    <row r="883" spans="1:1">
      <c r="A883" s="15"/>
    </row>
    <row r="884" spans="1:1">
      <c r="A884" s="1" t="s">
        <v>211</v>
      </c>
    </row>
    <row r="885" spans="1:1">
      <c r="A885" s="19"/>
    </row>
  </sheetData>
  <sheetProtection sheet="1" objects="1" scenarios="1"/>
  <conditionalFormatting sqref="A237:A239 A870 A366:A373 A798:A841 A884:A1048576 A81:A82 A157:A158 A141:A148 A160:A169 A171:A181 A202:A215 A227:A235 A252:A281 A219:A224 A636:A661 A375:A429 A517:A538 A843:A860 A674:A698 A549:A572 A84:A139 A499:A506 A701:A738 A745:A796 A38:A79 A283:A364 A438:A443 A446:A496 A580:A631 A6:A34">
    <cfRule type="beginsWith" dxfId="46" priority="55" operator="beginsWith" text="#">
      <formula>LEFT(A6,LEN("#"))="#"</formula>
    </cfRule>
  </conditionalFormatting>
  <conditionalFormatting sqref="A1 A249:A250 A877">
    <cfRule type="containsText" dxfId="45" priority="54" operator="containsText" text="#">
      <formula>NOT(ISERROR(SEARCH("#",A1)))</formula>
    </cfRule>
  </conditionalFormatting>
  <conditionalFormatting sqref="A430:A437">
    <cfRule type="containsText" dxfId="44" priority="53" operator="containsText" text="#">
      <formula>NOT(ISERROR(SEARCH("#",A430)))</formula>
    </cfRule>
  </conditionalFormatting>
  <conditionalFormatting sqref="A182">
    <cfRule type="containsText" dxfId="43" priority="52" operator="containsText" text="#">
      <formula>NOT(ISERROR(SEARCH("#",A182)))</formula>
    </cfRule>
  </conditionalFormatting>
  <conditionalFormatting sqref="A374">
    <cfRule type="beginsWith" dxfId="42" priority="51" operator="beginsWith" text="#">
      <formula>LEFT(A374,LEN("#"))="#"</formula>
    </cfRule>
  </conditionalFormatting>
  <conditionalFormatting sqref="A236">
    <cfRule type="containsText" dxfId="41" priority="50" operator="containsText" text="#">
      <formula>NOT(ISERROR(SEARCH("#",A236)))</formula>
    </cfRule>
  </conditionalFormatting>
  <conditionalFormatting sqref="A240">
    <cfRule type="containsText" dxfId="40" priority="48" operator="containsText" text="#">
      <formula>NOT(ISERROR(SEARCH("#",A240)))</formula>
    </cfRule>
  </conditionalFormatting>
  <conditionalFormatting sqref="A662:A664">
    <cfRule type="containsText" dxfId="39" priority="47" operator="containsText" text="#">
      <formula>NOT(ISERROR(SEARCH("#",A662)))</formula>
    </cfRule>
  </conditionalFormatting>
  <conditionalFormatting sqref="A665:A667">
    <cfRule type="containsText" dxfId="38" priority="46" operator="containsText" text="#">
      <formula>NOT(ISERROR(SEARCH("#",A665)))</formula>
    </cfRule>
  </conditionalFormatting>
  <conditionalFormatting sqref="A668:A670">
    <cfRule type="containsText" dxfId="37" priority="45" operator="containsText" text="#">
      <formula>NOT(ISERROR(SEARCH("#",A668)))</formula>
    </cfRule>
  </conditionalFormatting>
  <conditionalFormatting sqref="A699:A700">
    <cfRule type="containsText" dxfId="36" priority="44" operator="containsText" text="#">
      <formula>NOT(ISERROR(SEARCH("#",A699)))</formula>
    </cfRule>
  </conditionalFormatting>
  <conditionalFormatting sqref="A365">
    <cfRule type="containsText" dxfId="35" priority="43" operator="containsText" text="#">
      <formula>NOT(ISERROR(SEARCH("#",A365)))</formula>
    </cfRule>
  </conditionalFormatting>
  <conditionalFormatting sqref="B248:XFD249">
    <cfRule type="containsText" dxfId="34" priority="41" operator="containsText" text="#">
      <formula>NOT(ISERROR(SEARCH("#",B248)))</formula>
    </cfRule>
  </conditionalFormatting>
  <conditionalFormatting sqref="A225:A226 A2:XFD3 A871:A872 A880 A35:A37 A5:XFD5 B4:XFD4 A883 A877 A797 B739:XFD743 A740:A744">
    <cfRule type="beginsWith" dxfId="33" priority="40" operator="beginsWith" text="#">
      <formula>LEFT(A2,LEN("#"))="#"</formula>
    </cfRule>
  </conditionalFormatting>
  <conditionalFormatting sqref="A671:A673">
    <cfRule type="beginsWith" dxfId="32" priority="39" operator="beginsWith" text="#">
      <formula>LEFT(A671,LEN("#"))="#"</formula>
    </cfRule>
  </conditionalFormatting>
  <conditionalFormatting sqref="A216">
    <cfRule type="beginsWith" dxfId="31" priority="38" operator="beginsWith" text="#">
      <formula>LEFT(A216,LEN("#"))="#"</formula>
    </cfRule>
  </conditionalFormatting>
  <conditionalFormatting sqref="A159">
    <cfRule type="beginsWith" dxfId="30" priority="29" operator="beginsWith" text="#">
      <formula>LEFT(A159,LEN("#"))="#"</formula>
    </cfRule>
  </conditionalFormatting>
  <conditionalFormatting sqref="A80">
    <cfRule type="beginsWith" dxfId="29" priority="33" operator="beginsWith" text="#">
      <formula>LEFT(A80,LEN("#"))="#"</formula>
    </cfRule>
  </conditionalFormatting>
  <conditionalFormatting sqref="A83">
    <cfRule type="beginsWith" dxfId="28" priority="32" operator="beginsWith" text="#">
      <formula>LEFT(A83,LEN("#"))="#"</formula>
    </cfRule>
  </conditionalFormatting>
  <conditionalFormatting sqref="A149:A156">
    <cfRule type="beginsWith" dxfId="27" priority="31" operator="beginsWith" text="#">
      <formula>LEFT(A149,LEN("#"))="#"</formula>
    </cfRule>
  </conditionalFormatting>
  <conditionalFormatting sqref="A140">
    <cfRule type="beginsWith" dxfId="26" priority="30" operator="beginsWith" text="#">
      <formula>LEFT(A140,LEN("#"))="#"</formula>
    </cfRule>
  </conditionalFormatting>
  <conditionalFormatting sqref="A170">
    <cfRule type="beginsWith" dxfId="25" priority="28" operator="beginsWith" text="#">
      <formula>LEFT(A170,LEN("#"))="#"</formula>
    </cfRule>
  </conditionalFormatting>
  <conditionalFormatting sqref="A192">
    <cfRule type="beginsWith" dxfId="24" priority="27" operator="beginsWith" text="#">
      <formula>LEFT(A192,LEN("#"))="#"</formula>
    </cfRule>
  </conditionalFormatting>
  <conditionalFormatting sqref="A282">
    <cfRule type="beginsWith" dxfId="23" priority="26" operator="beginsWith" text="#">
      <formula>LEFT(A282,LEN("#"))="#"</formula>
    </cfRule>
  </conditionalFormatting>
  <conditionalFormatting sqref="A842">
    <cfRule type="beginsWith" dxfId="22" priority="25" operator="beginsWith" text="#">
      <formula>LEFT(A842,LEN("#"))="#"</formula>
    </cfRule>
  </conditionalFormatting>
  <conditionalFormatting sqref="A539:A548">
    <cfRule type="beginsWith" dxfId="21" priority="24" operator="beginsWith" text="#">
      <formula>LEFT(A539,LEN("#"))="#"</formula>
    </cfRule>
  </conditionalFormatting>
  <conditionalFormatting sqref="A632:A635">
    <cfRule type="beginsWith" dxfId="20" priority="23" operator="beginsWith" text="#">
      <formula>LEFT(A632,LEN("#"))="#"</formula>
    </cfRule>
  </conditionalFormatting>
  <conditionalFormatting sqref="A507:A511 A515:A516">
    <cfRule type="beginsWith" dxfId="19" priority="21" operator="beginsWith" text="#">
      <formula>LEFT(A507,LEN("#"))="#"</formula>
    </cfRule>
  </conditionalFormatting>
  <conditionalFormatting sqref="A512:A514">
    <cfRule type="beginsWith" dxfId="18" priority="20" operator="beginsWith" text="#">
      <formula>LEFT(A512,LEN("#"))="#"</formula>
    </cfRule>
  </conditionalFormatting>
  <conditionalFormatting sqref="A881:A882">
    <cfRule type="beginsWith" dxfId="17" priority="11" operator="beginsWith" text="#">
      <formula>LEFT(A881,LEN("#"))="#"</formula>
    </cfRule>
  </conditionalFormatting>
  <conditionalFormatting sqref="A574:A575 A579">
    <cfRule type="beginsWith" dxfId="16" priority="17" operator="beginsWith" text="#">
      <formula>LEFT(A574,LEN("#"))="#"</formula>
    </cfRule>
  </conditionalFormatting>
  <conditionalFormatting sqref="A573">
    <cfRule type="beginsWith" dxfId="15" priority="16" operator="beginsWith" text="#">
      <formula>LEFT(A573,LEN("#"))="#"</formula>
    </cfRule>
  </conditionalFormatting>
  <conditionalFormatting sqref="A576">
    <cfRule type="beginsWith" dxfId="14" priority="15" operator="beginsWith" text="#">
      <formula>LEFT(A576,LEN("#"))="#"</formula>
    </cfRule>
  </conditionalFormatting>
  <conditionalFormatting sqref="A577:A578">
    <cfRule type="beginsWith" dxfId="13" priority="14" operator="beginsWith" text="#">
      <formula>LEFT(A577,LEN("#"))="#"</formula>
    </cfRule>
  </conditionalFormatting>
  <conditionalFormatting sqref="A4">
    <cfRule type="beginsWith" dxfId="12" priority="13" operator="beginsWith" text="#">
      <formula>LEFT(A4,LEN("#"))="#"</formula>
    </cfRule>
  </conditionalFormatting>
  <conditionalFormatting sqref="A879">
    <cfRule type="beginsWith" dxfId="11" priority="12" operator="beginsWith" text="#">
      <formula>LEFT(A879,LEN("#"))="#"</formula>
    </cfRule>
  </conditionalFormatting>
  <conditionalFormatting sqref="A861:A863 A867:A869">
    <cfRule type="beginsWith" dxfId="10" priority="10" operator="beginsWith" text="#">
      <formula>LEFT(A861,LEN("#"))="#"</formula>
    </cfRule>
  </conditionalFormatting>
  <conditionalFormatting sqref="A873">
    <cfRule type="beginsWith" dxfId="9" priority="9" operator="beginsWith" text="#">
      <formula>LEFT(A873,LEN("#"))="#"</formula>
    </cfRule>
  </conditionalFormatting>
  <conditionalFormatting sqref="A874">
    <cfRule type="beginsWith" dxfId="8" priority="8" operator="beginsWith" text="#">
      <formula>LEFT(A874,LEN("#"))="#"</formula>
    </cfRule>
  </conditionalFormatting>
  <conditionalFormatting sqref="A875">
    <cfRule type="beginsWith" dxfId="7" priority="7" operator="beginsWith" text="#">
      <formula>LEFT(A875,LEN("#"))="#"</formula>
    </cfRule>
  </conditionalFormatting>
  <conditionalFormatting sqref="A876">
    <cfRule type="beginsWith" dxfId="6" priority="5" operator="beginsWith" text="#">
      <formula>LEFT(A876,LEN("#"))="#"</formula>
    </cfRule>
  </conditionalFormatting>
  <conditionalFormatting sqref="A739">
    <cfRule type="beginsWith" dxfId="5" priority="4" operator="beginsWith" text="#">
      <formula>LEFT(A739,LEN("#"))="#"</formula>
    </cfRule>
  </conditionalFormatting>
  <conditionalFormatting sqref="A878">
    <cfRule type="beginsWith" dxfId="4" priority="3" operator="beginsWith" text="#">
      <formula>LEFT(A878,LEN("#"))="#"</formula>
    </cfRule>
  </conditionalFormatting>
  <conditionalFormatting sqref="A864:A866">
    <cfRule type="beginsWith" dxfId="3" priority="2" operator="beginsWith" text="#">
      <formula>LEFT(A864,LEN("#"))="#"</formula>
    </cfRule>
  </conditionalFormatting>
  <conditionalFormatting sqref="A444:A445">
    <cfRule type="beginsWith" dxfId="2" priority="1" operator="beginsWith" text="#">
      <formula>LEFT(A444,LEN("#"))="#"</formula>
    </cfRule>
  </conditionalFormatting>
  <hyperlinks>
    <hyperlink ref="A400" r:id="rId1" display="mgmt-load-balancer-creation@vPodName=SFOMGMT-LB01" xr:uid="{00000000-0004-0000-0700-000013000000}"/>
    <hyperlink ref="A417" r:id="rId2" display="esg-02-compute-edge-device-creation@vPodName=LONEDGE-ESG02" xr:uid="{00000000-0004-0000-0700-000015000000}"/>
    <hyperlink ref="A414" r:id="rId3" display="esg-01-compute-edge-device-creation@vPodName=LONEDGE-ESG01" xr:uid="{00000000-0004-0000-0700-000016000000}"/>
    <hyperlink ref="A395" r:id="rId4" display="esg-02-mgmt-edge-device-creation@vPodName=LONMGMT-ESG02" xr:uid="{00000000-0004-0000-0700-000017000000}"/>
    <hyperlink ref="A392" r:id="rId5" display="esg-01-mgmt-edge-device-creation@vPodName=LONMGMT-ESG01" xr:uid="{00000000-0004-0000-0700-000018000000}"/>
    <hyperlink ref="A814" r:id="rId6" display="root-dns-records@records['vrbCollectorIp']=vra01buc01" xr:uid="{00000000-0004-0000-0700-000019000000}"/>
    <hyperlink ref="A721" r:id="rId7" display="logInsight-ad-and-smtp-configuration@useSslForAdIntegration=true" xr:uid="{00000000-0004-0000-0700-00001A000000}"/>
    <hyperlink ref="A87" r:id="rId8" display="edge-vsan-datastore-name@value=" xr:uid="{00000000-0004-0000-0700-00001B000000}"/>
    <hyperlink ref="A86" r:id="rId9" display="management-vsan-datastore-name@value=" xr:uid="{00000000-0004-0000-0700-00001C000000}"/>
    <hyperlink ref="A260" r:id="rId10" display="vds-management-initial-configuration@dvPortGroups[7].name=vDS-Mgmt-VR" xr:uid="{00000000-0004-0000-0700-00001D000000}"/>
    <hyperlink ref="A75" r:id="rId11" display="physical-nic-dedicated-to-dvs@value=vmnic1" xr:uid="{00000000-0004-0000-0700-00001E000000}"/>
    <hyperlink ref="A253" r:id="rId12" display="vds-management-initial-configuration@dvSwitchName&quot;" xr:uid="{00000000-0004-0000-0700-000020000000}"/>
    <hyperlink ref="A69" r:id="rId13" display="sso-site-name@value=" xr:uid="{00000000-0004-0000-0700-000021000000}"/>
    <hyperlink ref="A568" r:id="rId14" display="itac-tenantadmin-credentials@username=ITAC-TenantAdmin@rainpole.local" xr:uid="{00000000-0004-0000-0700-000022000000}"/>
    <hyperlink ref="A727" r:id="rId15" display="loginsight-admin-email@value=" xr:uid="{00000000-0004-0000-0700-000023000000}"/>
    <hyperlink ref="A468" r:id="rId16" display="nsx-mgmt-multicast-address-range@rangeStartIp=239.5.0.0" xr:uid="{00000000-0004-0000-0700-000027000000}"/>
    <hyperlink ref="A469" r:id="rId17" display="nsx-mgmt-multicast-address-range@rangeEndIp=239.5.255.255" xr:uid="{00000000-0004-0000-0700-000028000000}"/>
    <hyperlink ref="A475" r:id="rId18" display="nsx-compute-multicast-address-range@rangeStartIp=239.6.0.0" xr:uid="{00000000-0004-0000-0700-000029000000}"/>
    <hyperlink ref="A476" r:id="rId19" display="nsx-compute-multicast-address-range@rangeEndIp=239.6.255.255" xr:uid="{00000000-0004-0000-0700-00002A000000}"/>
  </hyperlinks>
  <pageMargins left="0.7" right="0.7" top="0.75" bottom="0.75" header="0.3" footer="0.3"/>
  <pageSetup paperSize="9" orientation="portrait" horizontalDpi="75" verticalDpi="75" r:id="rId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30C0-C0F9-A047-A1F5-40899ECFC0CE}">
  <dimension ref="A1:W46"/>
  <sheetViews>
    <sheetView topLeftCell="A36" zoomScale="120" zoomScaleNormal="120" workbookViewId="0">
      <selection activeCell="B48" sqref="B48"/>
    </sheetView>
  </sheetViews>
  <sheetFormatPr baseColWidth="10" defaultColWidth="11.5" defaultRowHeight="15"/>
  <cols>
    <col min="1" max="1" width="10.83203125" style="24"/>
    <col min="2" max="2" width="139.1640625" style="25" customWidth="1"/>
    <col min="22" max="22" width="10.83203125" style="26"/>
    <col min="23" max="23" width="131.1640625" style="27" customWidth="1"/>
  </cols>
  <sheetData>
    <row r="1" spans="1:2" ht="16">
      <c r="A1" s="24" t="s">
        <v>668</v>
      </c>
      <c r="B1" s="25" t="s">
        <v>8</v>
      </c>
    </row>
    <row r="2" spans="1:2" ht="16">
      <c r="A2" s="24">
        <v>43158</v>
      </c>
      <c r="B2" s="25" t="s">
        <v>669</v>
      </c>
    </row>
    <row r="3" spans="1:2" ht="256">
      <c r="A3" s="24">
        <v>43159</v>
      </c>
      <c r="B3" s="25" t="s">
        <v>672</v>
      </c>
    </row>
    <row r="4" spans="1:2" ht="335">
      <c r="A4" s="24" t="s">
        <v>670</v>
      </c>
      <c r="B4" s="25" t="s">
        <v>671</v>
      </c>
    </row>
    <row r="5" spans="1:2" ht="409.6">
      <c r="A5" s="24">
        <v>43172</v>
      </c>
      <c r="B5" s="25" t="s">
        <v>675</v>
      </c>
    </row>
    <row r="6" spans="1:2" ht="144">
      <c r="A6" s="24">
        <v>43173</v>
      </c>
      <c r="B6" s="25" t="s">
        <v>685</v>
      </c>
    </row>
    <row r="7" spans="1:2" ht="48">
      <c r="A7" s="24">
        <v>43174</v>
      </c>
      <c r="B7" s="25" t="s">
        <v>682</v>
      </c>
    </row>
    <row r="8" spans="1:2" ht="48">
      <c r="A8" s="24">
        <v>43181</v>
      </c>
      <c r="B8" s="25" t="s">
        <v>684</v>
      </c>
    </row>
    <row r="9" spans="1:2" ht="16">
      <c r="A9" s="28">
        <v>43186</v>
      </c>
      <c r="B9" s="25" t="s">
        <v>686</v>
      </c>
    </row>
    <row r="10" spans="1:2" ht="48">
      <c r="A10" s="28">
        <v>43188</v>
      </c>
      <c r="B10" s="25" t="s">
        <v>687</v>
      </c>
    </row>
    <row r="11" spans="1:2" ht="32">
      <c r="A11" s="28">
        <v>43195</v>
      </c>
      <c r="B11" s="25" t="s">
        <v>691</v>
      </c>
    </row>
    <row r="12" spans="1:2" ht="256">
      <c r="A12" s="28">
        <v>43199</v>
      </c>
      <c r="B12" s="25" t="s">
        <v>692</v>
      </c>
    </row>
    <row r="13" spans="1:2" ht="409.6">
      <c r="A13" s="28">
        <v>43200</v>
      </c>
      <c r="B13" s="25" t="s">
        <v>730</v>
      </c>
    </row>
    <row r="14" spans="1:2" ht="80">
      <c r="A14" s="24">
        <v>43203</v>
      </c>
      <c r="B14" s="25" t="s">
        <v>739</v>
      </c>
    </row>
    <row r="15" spans="1:2" ht="32">
      <c r="A15" s="24">
        <v>43207</v>
      </c>
      <c r="B15" s="25" t="s">
        <v>741</v>
      </c>
    </row>
    <row r="16" spans="1:2" ht="64">
      <c r="A16" s="28">
        <v>43229</v>
      </c>
      <c r="B16" s="25" t="s">
        <v>742</v>
      </c>
    </row>
    <row r="17" spans="1:2" ht="32">
      <c r="A17" s="28">
        <v>43235</v>
      </c>
      <c r="B17" s="25" t="s">
        <v>765</v>
      </c>
    </row>
    <row r="18" spans="1:2" ht="32">
      <c r="A18" s="115">
        <v>43257</v>
      </c>
      <c r="B18" s="25" t="s">
        <v>995</v>
      </c>
    </row>
    <row r="19" spans="1:2" ht="32">
      <c r="A19" s="28">
        <v>43264</v>
      </c>
      <c r="B19" s="25" t="s">
        <v>997</v>
      </c>
    </row>
    <row r="20" spans="1:2" ht="96">
      <c r="A20" s="115">
        <v>43277</v>
      </c>
      <c r="B20" s="25" t="s">
        <v>1004</v>
      </c>
    </row>
    <row r="21" spans="1:2" ht="64">
      <c r="A21" s="115">
        <v>43279</v>
      </c>
      <c r="B21" s="25" t="s">
        <v>1008</v>
      </c>
    </row>
    <row r="22" spans="1:2" ht="80">
      <c r="A22" s="115">
        <v>43280</v>
      </c>
      <c r="B22" s="25" t="s">
        <v>1012</v>
      </c>
    </row>
    <row r="23" spans="1:2" ht="64">
      <c r="A23" s="116">
        <v>43293</v>
      </c>
      <c r="B23" s="25" t="s">
        <v>1014</v>
      </c>
    </row>
    <row r="24" spans="1:2" ht="48">
      <c r="A24" s="116">
        <v>43301</v>
      </c>
      <c r="B24" s="25" t="s">
        <v>1015</v>
      </c>
    </row>
    <row r="25" spans="1:2" ht="48">
      <c r="A25" s="116">
        <v>43307</v>
      </c>
      <c r="B25" s="25" t="s">
        <v>1018</v>
      </c>
    </row>
    <row r="26" spans="1:2" ht="64">
      <c r="A26" s="116">
        <v>43278</v>
      </c>
      <c r="B26" s="25" t="s">
        <v>1026</v>
      </c>
    </row>
    <row r="27" spans="1:2" ht="16">
      <c r="A27" s="116">
        <v>43311</v>
      </c>
      <c r="B27" s="25" t="s">
        <v>1028</v>
      </c>
    </row>
    <row r="28" spans="1:2" ht="48">
      <c r="A28" s="116">
        <v>43312</v>
      </c>
      <c r="B28" s="25" t="s">
        <v>1033</v>
      </c>
    </row>
    <row r="29" spans="1:2" ht="80">
      <c r="A29" s="116">
        <v>43321</v>
      </c>
      <c r="B29" s="25" t="s">
        <v>1038</v>
      </c>
    </row>
    <row r="30" spans="1:2" ht="32">
      <c r="A30" s="119">
        <v>43343</v>
      </c>
      <c r="B30" s="25" t="s">
        <v>1043</v>
      </c>
    </row>
    <row r="31" spans="1:2" ht="48">
      <c r="A31" s="116">
        <v>43346</v>
      </c>
      <c r="B31" s="25" t="s">
        <v>1048</v>
      </c>
    </row>
    <row r="32" spans="1:2" ht="32">
      <c r="A32" s="116">
        <v>43347</v>
      </c>
      <c r="B32" s="25" t="s">
        <v>1054</v>
      </c>
    </row>
    <row r="33" spans="1:23" ht="32">
      <c r="A33" s="119">
        <v>43367</v>
      </c>
      <c r="B33" s="25" t="s">
        <v>1058</v>
      </c>
    </row>
    <row r="34" spans="1:23" ht="48">
      <c r="A34" s="122">
        <v>43406</v>
      </c>
      <c r="B34" s="25" t="s">
        <v>1070</v>
      </c>
    </row>
    <row r="35" spans="1:23" ht="16">
      <c r="A35" s="122">
        <v>43413</v>
      </c>
      <c r="B35" s="25" t="s">
        <v>1080</v>
      </c>
    </row>
    <row r="36" spans="1:23" ht="80">
      <c r="A36" s="128">
        <v>43420</v>
      </c>
      <c r="B36" s="25" t="s">
        <v>1089</v>
      </c>
    </row>
    <row r="37" spans="1:23" ht="80">
      <c r="A37" s="128">
        <v>43423</v>
      </c>
      <c r="B37" s="25" t="s">
        <v>1190</v>
      </c>
    </row>
    <row r="38" spans="1:23" ht="16">
      <c r="A38" s="122">
        <v>43434</v>
      </c>
      <c r="B38" s="25" t="s">
        <v>1192</v>
      </c>
    </row>
    <row r="39" spans="1:23" ht="64">
      <c r="A39" s="122">
        <v>43437</v>
      </c>
      <c r="B39" s="25" t="s">
        <v>1197</v>
      </c>
    </row>
    <row r="40" spans="1:23" ht="64">
      <c r="A40" s="128">
        <v>43444</v>
      </c>
      <c r="B40" s="25" t="s">
        <v>1199</v>
      </c>
    </row>
    <row r="41" spans="1:23" ht="48">
      <c r="A41" s="128">
        <v>43445</v>
      </c>
      <c r="B41" s="25" t="s">
        <v>1203</v>
      </c>
    </row>
    <row r="42" spans="1:23" ht="48">
      <c r="A42" s="122">
        <v>43446</v>
      </c>
      <c r="B42" s="25" t="s">
        <v>1204</v>
      </c>
    </row>
    <row r="43" spans="1:23" ht="16">
      <c r="A43" s="122">
        <v>43448</v>
      </c>
      <c r="B43" s="25" t="s">
        <v>1205</v>
      </c>
    </row>
    <row r="44" spans="1:23" ht="16">
      <c r="A44" s="128">
        <v>43467</v>
      </c>
      <c r="B44" s="25" t="s">
        <v>1206</v>
      </c>
    </row>
    <row r="45" spans="1:23" ht="16">
      <c r="A45" s="334">
        <v>43468</v>
      </c>
      <c r="B45" s="25" t="s">
        <v>1208</v>
      </c>
      <c r="V45"/>
      <c r="W45"/>
    </row>
    <row r="46" spans="1:23" ht="9" customHeight="1">
      <c r="A46" s="29"/>
      <c r="B46" s="30"/>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AO150"/>
  <sheetViews>
    <sheetView showZeros="0" zoomScaleNormal="100" zoomScalePageLayoutView="118" workbookViewId="0">
      <pane ySplit="4" topLeftCell="A5" activePane="bottomLeft" state="frozen"/>
      <selection activeCell="D53" sqref="D53"/>
      <selection pane="bottomLeft" activeCell="M43" sqref="M43"/>
    </sheetView>
  </sheetViews>
  <sheetFormatPr baseColWidth="10" defaultColWidth="8.83203125" defaultRowHeight="14"/>
  <cols>
    <col min="1" max="1" width="1" style="204" customWidth="1"/>
    <col min="2" max="2" width="24.33203125" style="134" customWidth="1"/>
    <col min="3" max="3" width="42.83203125" style="134" customWidth="1"/>
    <col min="4" max="4" width="21.83203125" style="134" customWidth="1"/>
    <col min="5" max="6" width="6.33203125" style="134" customWidth="1"/>
    <col min="7" max="7" width="9.33203125" style="134" customWidth="1"/>
    <col min="8" max="8" width="6.83203125" style="134" customWidth="1"/>
    <col min="9" max="9" width="10.83203125" style="134" customWidth="1"/>
    <col min="10" max="10" width="9" style="134" customWidth="1"/>
    <col min="11" max="11" width="10.1640625" style="134" customWidth="1"/>
    <col min="12" max="12" width="18.1640625" style="135" bestFit="1" customWidth="1"/>
    <col min="13" max="13" width="37.1640625" style="135" bestFit="1" customWidth="1"/>
    <col min="14" max="16384" width="8.83203125" style="134"/>
  </cols>
  <sheetData>
    <row r="1" spans="1:14" ht="48" customHeight="1" thickBot="1"/>
    <row r="2" spans="1:14" s="337" customFormat="1" ht="32" customHeight="1" thickBot="1">
      <c r="B2" s="356" t="s">
        <v>1209</v>
      </c>
      <c r="C2" s="357"/>
      <c r="D2" s="357"/>
      <c r="E2" s="357"/>
      <c r="F2" s="357"/>
      <c r="G2" s="357"/>
      <c r="H2" s="357"/>
      <c r="I2" s="357"/>
      <c r="J2" s="357"/>
      <c r="K2" s="357"/>
      <c r="L2" s="357"/>
      <c r="M2" s="358"/>
    </row>
    <row r="3" spans="1:14" s="337" customFormat="1" ht="2" customHeight="1">
      <c r="C3" s="338"/>
      <c r="D3" s="339"/>
      <c r="E3" s="339"/>
      <c r="F3" s="339"/>
      <c r="G3" s="339"/>
      <c r="H3" s="340"/>
      <c r="I3" s="341"/>
      <c r="J3" s="341"/>
    </row>
    <row r="4" spans="1:14" s="137" customFormat="1" ht="34.5" customHeight="1">
      <c r="A4" s="335"/>
      <c r="B4" s="136" t="s">
        <v>43</v>
      </c>
      <c r="C4" s="136" t="s">
        <v>44</v>
      </c>
      <c r="D4" s="136" t="s">
        <v>45</v>
      </c>
      <c r="E4" s="136" t="s">
        <v>46</v>
      </c>
      <c r="F4" s="136" t="s">
        <v>47</v>
      </c>
      <c r="G4" s="136" t="s">
        <v>262</v>
      </c>
      <c r="H4" s="136" t="s">
        <v>49</v>
      </c>
      <c r="I4" s="136" t="s">
        <v>50</v>
      </c>
      <c r="J4" s="136" t="s">
        <v>80</v>
      </c>
      <c r="K4" s="136" t="s">
        <v>731</v>
      </c>
      <c r="L4" s="136" t="s">
        <v>51</v>
      </c>
      <c r="M4" s="136" t="s">
        <v>81</v>
      </c>
    </row>
    <row r="5" spans="1:14" s="139" customFormat="1" ht="16" customHeight="1">
      <c r="A5" s="336"/>
      <c r="B5" s="347" t="s">
        <v>1071</v>
      </c>
      <c r="C5" s="348"/>
      <c r="D5" s="138"/>
      <c r="E5" s="138"/>
      <c r="F5" s="138"/>
      <c r="G5" s="138"/>
      <c r="H5" s="138"/>
      <c r="I5" s="138"/>
      <c r="J5" s="138"/>
      <c r="K5" s="138"/>
      <c r="L5" s="138"/>
      <c r="M5" s="138"/>
    </row>
    <row r="6" spans="1:14" s="144" customFormat="1" ht="16" customHeight="1">
      <c r="A6" s="332"/>
      <c r="B6" s="140" t="s">
        <v>586</v>
      </c>
      <c r="C6" s="141"/>
      <c r="D6" s="141"/>
      <c r="E6" s="141"/>
      <c r="F6" s="141"/>
      <c r="G6" s="141"/>
      <c r="H6" s="141"/>
      <c r="I6" s="141"/>
      <c r="J6" s="142"/>
      <c r="K6" s="142"/>
      <c r="L6" s="143"/>
      <c r="M6" s="143"/>
    </row>
    <row r="7" spans="1:14" s="144" customFormat="1" ht="16" customHeight="1">
      <c r="A7" s="332"/>
      <c r="B7" s="145"/>
      <c r="C7" s="146"/>
      <c r="D7" s="146"/>
      <c r="E7" s="146"/>
      <c r="F7" s="146"/>
      <c r="G7" s="146"/>
      <c r="H7" s="146"/>
      <c r="I7" s="146"/>
      <c r="J7" s="147"/>
      <c r="K7" s="147"/>
      <c r="L7" s="148" t="s">
        <v>1059</v>
      </c>
      <c r="M7" s="211"/>
    </row>
    <row r="8" spans="1:14" s="144" customFormat="1" ht="16" customHeight="1">
      <c r="A8" s="332"/>
      <c r="B8" s="145"/>
      <c r="C8" s="146"/>
      <c r="D8" s="146"/>
      <c r="E8" s="146"/>
      <c r="F8" s="146"/>
      <c r="G8" s="146"/>
      <c r="H8" s="146"/>
      <c r="I8" s="146"/>
      <c r="J8" s="147"/>
      <c r="K8" s="147"/>
      <c r="L8" s="148" t="s">
        <v>1149</v>
      </c>
      <c r="M8" s="211"/>
    </row>
    <row r="9" spans="1:14" s="144" customFormat="1" ht="16" customHeight="1">
      <c r="A9" s="332"/>
      <c r="B9" s="146" t="str">
        <f>'Deploy Parameters'!$F$26</f>
        <v>lax01m01vc01</v>
      </c>
      <c r="C9" s="146" t="s">
        <v>1160</v>
      </c>
      <c r="D9" s="149" t="s">
        <v>52</v>
      </c>
      <c r="E9" s="148">
        <v>4</v>
      </c>
      <c r="F9" s="148">
        <v>16</v>
      </c>
      <c r="G9" s="148">
        <v>265</v>
      </c>
      <c r="H9" s="148">
        <v>0</v>
      </c>
      <c r="I9" s="150">
        <v>0</v>
      </c>
      <c r="J9" s="148"/>
      <c r="K9" s="148" t="s">
        <v>53</v>
      </c>
      <c r="L9" s="148" t="s">
        <v>1150</v>
      </c>
      <c r="M9" s="211"/>
    </row>
    <row r="10" spans="1:14" s="144" customFormat="1" ht="16" customHeight="1">
      <c r="A10" s="332"/>
      <c r="B10" s="146" t="str">
        <f>'Deploy Parameters'!$F$27</f>
        <v>lax01m01psc01</v>
      </c>
      <c r="C10" s="146" t="s">
        <v>1161</v>
      </c>
      <c r="D10" s="149" t="s">
        <v>52</v>
      </c>
      <c r="E10" s="148">
        <v>2</v>
      </c>
      <c r="F10" s="148">
        <v>4</v>
      </c>
      <c r="G10" s="148">
        <v>114</v>
      </c>
      <c r="H10" s="148">
        <v>0</v>
      </c>
      <c r="I10" s="150"/>
      <c r="J10" s="148"/>
      <c r="K10" s="148" t="s">
        <v>53</v>
      </c>
      <c r="L10" s="148" t="s">
        <v>1150</v>
      </c>
      <c r="M10" s="151"/>
    </row>
    <row r="11" spans="1:14" s="144" customFormat="1" ht="16" customHeight="1">
      <c r="A11" s="332"/>
      <c r="B11" s="149" t="str">
        <f>'Deploy Parameters'!$F$58</f>
        <v>lax01m01nsx01</v>
      </c>
      <c r="C11" s="146" t="s">
        <v>1162</v>
      </c>
      <c r="D11" s="149" t="s">
        <v>52</v>
      </c>
      <c r="E11" s="148">
        <v>4</v>
      </c>
      <c r="F11" s="148">
        <v>16</v>
      </c>
      <c r="G11" s="148">
        <v>60</v>
      </c>
      <c r="H11" s="148">
        <v>0</v>
      </c>
      <c r="I11" s="150"/>
      <c r="J11" s="148"/>
      <c r="K11" s="148" t="s">
        <v>53</v>
      </c>
      <c r="L11" s="148" t="s">
        <v>1151</v>
      </c>
      <c r="M11" s="211"/>
    </row>
    <row r="12" spans="1:14" s="144" customFormat="1" ht="16" customHeight="1">
      <c r="A12" s="332"/>
      <c r="B12" s="149" t="str">
        <f>'Deploy Parameters'!$F$29</f>
        <v>lax01w01vc01</v>
      </c>
      <c r="C12" s="146" t="s">
        <v>1163</v>
      </c>
      <c r="D12" s="149" t="s">
        <v>52</v>
      </c>
      <c r="E12" s="148">
        <v>16</v>
      </c>
      <c r="F12" s="148">
        <v>32</v>
      </c>
      <c r="G12" s="148">
        <v>599</v>
      </c>
      <c r="H12" s="148">
        <v>0</v>
      </c>
      <c r="I12" s="150"/>
      <c r="J12" s="148"/>
      <c r="K12" s="148" t="s">
        <v>53</v>
      </c>
      <c r="L12" s="148" t="s">
        <v>1150</v>
      </c>
      <c r="M12" s="211"/>
    </row>
    <row r="13" spans="1:14" s="144" customFormat="1" ht="16" customHeight="1">
      <c r="A13" s="332"/>
      <c r="B13" s="146" t="str">
        <f>'Deploy Parameters'!$F$30</f>
        <v>lax01w01psc01</v>
      </c>
      <c r="C13" s="146" t="s">
        <v>1164</v>
      </c>
      <c r="D13" s="149" t="s">
        <v>52</v>
      </c>
      <c r="E13" s="148">
        <v>2</v>
      </c>
      <c r="F13" s="148">
        <v>4</v>
      </c>
      <c r="G13" s="148">
        <v>114</v>
      </c>
      <c r="H13" s="148">
        <v>0</v>
      </c>
      <c r="I13" s="150"/>
      <c r="J13" s="148"/>
      <c r="K13" s="148" t="s">
        <v>53</v>
      </c>
      <c r="L13" s="148" t="s">
        <v>1150</v>
      </c>
      <c r="M13" s="343"/>
    </row>
    <row r="14" spans="1:14" s="144" customFormat="1" ht="16" customHeight="1">
      <c r="A14" s="332"/>
      <c r="B14" s="149" t="str">
        <f>'Deploy Parameters'!$J$58</f>
        <v>lax01w01nsx01</v>
      </c>
      <c r="C14" s="146" t="s">
        <v>1165</v>
      </c>
      <c r="D14" s="149" t="s">
        <v>52</v>
      </c>
      <c r="E14" s="148">
        <v>4</v>
      </c>
      <c r="F14" s="148">
        <v>16</v>
      </c>
      <c r="G14" s="148">
        <v>60</v>
      </c>
      <c r="H14" s="148">
        <v>0</v>
      </c>
      <c r="I14" s="150"/>
      <c r="J14" s="148"/>
      <c r="K14" s="148" t="s">
        <v>53</v>
      </c>
      <c r="L14" s="342" t="s">
        <v>1151</v>
      </c>
      <c r="M14" s="211"/>
      <c r="N14" s="333"/>
    </row>
    <row r="15" spans="1:14" s="144" customFormat="1" ht="16" customHeight="1">
      <c r="A15" s="332"/>
      <c r="B15" s="149" t="s">
        <v>331</v>
      </c>
      <c r="C15" s="146" t="s">
        <v>328</v>
      </c>
      <c r="D15" s="149" t="s">
        <v>52</v>
      </c>
      <c r="E15" s="148">
        <v>4</v>
      </c>
      <c r="F15" s="148">
        <v>4</v>
      </c>
      <c r="G15" s="148">
        <v>20</v>
      </c>
      <c r="H15" s="148">
        <v>0</v>
      </c>
      <c r="I15" s="150"/>
      <c r="J15" s="148"/>
      <c r="K15" s="148"/>
      <c r="L15" s="148" t="s">
        <v>1151</v>
      </c>
      <c r="M15" s="163"/>
    </row>
    <row r="16" spans="1:14" s="144" customFormat="1" ht="16" customHeight="1">
      <c r="A16" s="332"/>
      <c r="B16" s="149" t="s">
        <v>332</v>
      </c>
      <c r="C16" s="146" t="s">
        <v>330</v>
      </c>
      <c r="D16" s="149" t="s">
        <v>52</v>
      </c>
      <c r="E16" s="148">
        <v>4</v>
      </c>
      <c r="F16" s="148">
        <v>4</v>
      </c>
      <c r="G16" s="148">
        <v>20</v>
      </c>
      <c r="H16" s="148">
        <v>0</v>
      </c>
      <c r="I16" s="150"/>
      <c r="J16" s="148"/>
      <c r="K16" s="148"/>
      <c r="L16" s="148" t="s">
        <v>1151</v>
      </c>
      <c r="M16" s="151"/>
    </row>
    <row r="17" spans="1:41" s="144" customFormat="1" ht="16" customHeight="1">
      <c r="A17" s="332"/>
      <c r="B17" s="149" t="s">
        <v>333</v>
      </c>
      <c r="C17" s="146" t="s">
        <v>329</v>
      </c>
      <c r="D17" s="149" t="s">
        <v>52</v>
      </c>
      <c r="E17" s="148">
        <v>4</v>
      </c>
      <c r="F17" s="148">
        <v>4</v>
      </c>
      <c r="G17" s="148">
        <v>20</v>
      </c>
      <c r="H17" s="148">
        <v>0</v>
      </c>
      <c r="I17" s="150"/>
      <c r="J17" s="148"/>
      <c r="K17" s="148"/>
      <c r="L17" s="148" t="s">
        <v>1151</v>
      </c>
      <c r="M17" s="151"/>
    </row>
    <row r="18" spans="1:41" s="144" customFormat="1" ht="16" customHeight="1">
      <c r="A18" s="332"/>
      <c r="B18" s="149" t="str">
        <f>'Deploy Parameters'!F81</f>
        <v>lax01m01esg01</v>
      </c>
      <c r="C18" s="146" t="s">
        <v>263</v>
      </c>
      <c r="D18" s="149" t="s">
        <v>52</v>
      </c>
      <c r="E18" s="148">
        <v>2</v>
      </c>
      <c r="F18" s="148">
        <v>1</v>
      </c>
      <c r="G18" s="148">
        <v>1</v>
      </c>
      <c r="H18" s="148">
        <v>0</v>
      </c>
      <c r="I18" s="150"/>
      <c r="J18" s="148"/>
      <c r="K18" s="148" t="s">
        <v>53</v>
      </c>
      <c r="L18" s="148" t="s">
        <v>1151</v>
      </c>
      <c r="M18" s="151"/>
    </row>
    <row r="19" spans="1:41" s="144" customFormat="1" ht="16" customHeight="1">
      <c r="A19" s="332"/>
      <c r="B19" s="149" t="str">
        <f>'Deploy Parameters'!F85</f>
        <v>lax01m01esg02</v>
      </c>
      <c r="C19" s="146" t="s">
        <v>264</v>
      </c>
      <c r="D19" s="149" t="s">
        <v>52</v>
      </c>
      <c r="E19" s="148">
        <v>2</v>
      </c>
      <c r="F19" s="148">
        <v>1</v>
      </c>
      <c r="G19" s="148">
        <v>1</v>
      </c>
      <c r="H19" s="148">
        <v>0</v>
      </c>
      <c r="I19" s="150"/>
      <c r="J19" s="148"/>
      <c r="K19" s="148" t="s">
        <v>53</v>
      </c>
      <c r="L19" s="148" t="s">
        <v>1151</v>
      </c>
      <c r="M19" s="151"/>
    </row>
    <row r="20" spans="1:41" s="144" customFormat="1" ht="16" customHeight="1">
      <c r="A20" s="332"/>
      <c r="B20" s="149" t="str">
        <f>'Deploy Parameters'!J71&amp;"-0"</f>
        <v>lax01m01lb01-0</v>
      </c>
      <c r="C20" s="146" t="s">
        <v>295</v>
      </c>
      <c r="D20" s="149" t="s">
        <v>52</v>
      </c>
      <c r="E20" s="148">
        <v>2</v>
      </c>
      <c r="F20" s="148">
        <v>1</v>
      </c>
      <c r="G20" s="148">
        <v>1</v>
      </c>
      <c r="H20" s="148">
        <v>0</v>
      </c>
      <c r="I20" s="150"/>
      <c r="J20" s="148"/>
      <c r="K20" s="148" t="s">
        <v>53</v>
      </c>
      <c r="L20" s="148" t="s">
        <v>1151</v>
      </c>
      <c r="M20" s="151"/>
    </row>
    <row r="21" spans="1:41" s="144" customFormat="1" ht="16" customHeight="1">
      <c r="A21" s="332"/>
      <c r="B21" s="149" t="str">
        <f>'Deploy Parameters'!J71&amp;"-1"</f>
        <v>lax01m01lb01-1</v>
      </c>
      <c r="C21" s="146" t="s">
        <v>296</v>
      </c>
      <c r="D21" s="149" t="s">
        <v>52</v>
      </c>
      <c r="E21" s="148">
        <v>2</v>
      </c>
      <c r="F21" s="148">
        <v>1</v>
      </c>
      <c r="G21" s="148">
        <v>1</v>
      </c>
      <c r="H21" s="148">
        <v>0</v>
      </c>
      <c r="I21" s="150"/>
      <c r="J21" s="148"/>
      <c r="K21" s="148" t="s">
        <v>53</v>
      </c>
      <c r="L21" s="148" t="s">
        <v>1151</v>
      </c>
      <c r="M21" s="151"/>
    </row>
    <row r="22" spans="1:41" s="144" customFormat="1" ht="16" customHeight="1">
      <c r="A22" s="332"/>
      <c r="B22" s="149" t="str">
        <f>'Deploy Parameters'!F31&amp;"-0"</f>
        <v>lax01psc01-0</v>
      </c>
      <c r="C22" s="146" t="s">
        <v>524</v>
      </c>
      <c r="D22" s="149" t="s">
        <v>52</v>
      </c>
      <c r="E22" s="148">
        <v>2</v>
      </c>
      <c r="F22" s="148">
        <v>1</v>
      </c>
      <c r="G22" s="148">
        <v>1</v>
      </c>
      <c r="H22" s="148">
        <f t="shared" ref="H22:H27" si="0">F22*I22</f>
        <v>0</v>
      </c>
      <c r="I22" s="150"/>
      <c r="J22" s="148"/>
      <c r="K22" s="148" t="s">
        <v>53</v>
      </c>
      <c r="L22" s="148" t="s">
        <v>1151</v>
      </c>
      <c r="M22" s="151"/>
      <c r="N22" s="333"/>
      <c r="O22" s="333"/>
      <c r="P22" s="333"/>
      <c r="Q22" s="333"/>
      <c r="R22" s="333"/>
      <c r="S22" s="333"/>
      <c r="T22" s="333"/>
      <c r="U22" s="333"/>
      <c r="V22" s="333"/>
      <c r="W22" s="333"/>
      <c r="X22" s="333"/>
      <c r="Y22" s="333"/>
      <c r="Z22" s="333"/>
      <c r="AA22" s="333"/>
      <c r="AB22" s="333"/>
      <c r="AC22" s="333"/>
      <c r="AD22" s="333"/>
      <c r="AE22" s="333"/>
      <c r="AF22" s="333"/>
      <c r="AG22" s="333"/>
      <c r="AH22" s="333"/>
      <c r="AI22" s="333"/>
      <c r="AJ22" s="333"/>
      <c r="AK22" s="333"/>
      <c r="AL22" s="333"/>
      <c r="AM22" s="333"/>
      <c r="AN22" s="333"/>
      <c r="AO22" s="333"/>
    </row>
    <row r="23" spans="1:41" s="144" customFormat="1" ht="16" customHeight="1">
      <c r="A23" s="332"/>
      <c r="B23" s="149" t="str">
        <f>'Deploy Parameters'!F31&amp;"-1"</f>
        <v>lax01psc01-1</v>
      </c>
      <c r="C23" s="146" t="s">
        <v>525</v>
      </c>
      <c r="D23" s="149" t="s">
        <v>52</v>
      </c>
      <c r="E23" s="148">
        <v>2</v>
      </c>
      <c r="F23" s="148">
        <v>1</v>
      </c>
      <c r="G23" s="148">
        <v>1</v>
      </c>
      <c r="H23" s="148">
        <f t="shared" si="0"/>
        <v>0</v>
      </c>
      <c r="I23" s="150"/>
      <c r="J23" s="148"/>
      <c r="K23" s="148" t="s">
        <v>53</v>
      </c>
      <c r="L23" s="148" t="s">
        <v>1151</v>
      </c>
      <c r="M23" s="151"/>
      <c r="N23" s="333"/>
      <c r="O23" s="333"/>
      <c r="P23" s="333"/>
      <c r="Q23" s="333"/>
      <c r="R23" s="333"/>
      <c r="S23" s="333"/>
      <c r="T23" s="333"/>
      <c r="U23" s="333"/>
      <c r="V23" s="333"/>
      <c r="W23" s="333"/>
      <c r="X23" s="333"/>
      <c r="Y23" s="333"/>
      <c r="Z23" s="333"/>
      <c r="AA23" s="333"/>
      <c r="AB23" s="333"/>
      <c r="AC23" s="333"/>
      <c r="AD23" s="333"/>
      <c r="AE23" s="333"/>
      <c r="AF23" s="333"/>
      <c r="AG23" s="333"/>
      <c r="AH23" s="333"/>
      <c r="AI23" s="333"/>
      <c r="AJ23" s="333"/>
      <c r="AK23" s="333"/>
      <c r="AL23" s="333"/>
      <c r="AM23" s="333"/>
      <c r="AN23" s="333"/>
      <c r="AO23" s="333"/>
    </row>
    <row r="24" spans="1:41" s="144" customFormat="1" ht="16" customHeight="1">
      <c r="A24" s="332"/>
      <c r="B24" s="149" t="s">
        <v>456</v>
      </c>
      <c r="C24" s="146" t="s">
        <v>297</v>
      </c>
      <c r="D24" s="149" t="s">
        <v>52</v>
      </c>
      <c r="E24" s="148">
        <v>2</v>
      </c>
      <c r="F24" s="148">
        <v>1</v>
      </c>
      <c r="G24" s="148">
        <v>1</v>
      </c>
      <c r="H24" s="148">
        <f t="shared" si="0"/>
        <v>0</v>
      </c>
      <c r="I24" s="150"/>
      <c r="J24" s="148"/>
      <c r="K24" s="148" t="s">
        <v>53</v>
      </c>
      <c r="L24" s="148" t="s">
        <v>1151</v>
      </c>
      <c r="M24" s="151"/>
      <c r="N24" s="333"/>
    </row>
    <row r="25" spans="1:41" s="144" customFormat="1" ht="16" customHeight="1">
      <c r="A25" s="332"/>
      <c r="B25" s="149" t="s">
        <v>455</v>
      </c>
      <c r="C25" s="146" t="s">
        <v>298</v>
      </c>
      <c r="D25" s="149" t="s">
        <v>52</v>
      </c>
      <c r="E25" s="148">
        <v>2</v>
      </c>
      <c r="F25" s="148">
        <v>1</v>
      </c>
      <c r="G25" s="148">
        <v>1</v>
      </c>
      <c r="H25" s="148">
        <f t="shared" si="0"/>
        <v>0</v>
      </c>
      <c r="I25" s="150"/>
      <c r="J25" s="148"/>
      <c r="K25" s="148" t="s">
        <v>53</v>
      </c>
      <c r="L25" s="148" t="s">
        <v>1151</v>
      </c>
      <c r="M25" s="151"/>
    </row>
    <row r="26" spans="1:41" s="144" customFormat="1" ht="16" customHeight="1">
      <c r="A26" s="332"/>
      <c r="B26" s="149" t="s">
        <v>726</v>
      </c>
      <c r="C26" s="146" t="s">
        <v>728</v>
      </c>
      <c r="D26" s="149" t="s">
        <v>52</v>
      </c>
      <c r="E26" s="148">
        <v>2</v>
      </c>
      <c r="F26" s="148">
        <v>1</v>
      </c>
      <c r="G26" s="148">
        <v>1</v>
      </c>
      <c r="H26" s="148">
        <f t="shared" si="0"/>
        <v>0</v>
      </c>
      <c r="I26" s="150"/>
      <c r="J26" s="148"/>
      <c r="K26" s="148" t="s">
        <v>53</v>
      </c>
      <c r="L26" s="148" t="s">
        <v>1151</v>
      </c>
      <c r="M26" s="151"/>
    </row>
    <row r="27" spans="1:41" s="144" customFormat="1" ht="16" customHeight="1">
      <c r="A27" s="332"/>
      <c r="B27" s="149" t="s">
        <v>727</v>
      </c>
      <c r="C27" s="146" t="s">
        <v>729</v>
      </c>
      <c r="D27" s="149" t="s">
        <v>52</v>
      </c>
      <c r="E27" s="148">
        <v>2</v>
      </c>
      <c r="F27" s="148">
        <v>1</v>
      </c>
      <c r="G27" s="148">
        <v>1</v>
      </c>
      <c r="H27" s="148">
        <f t="shared" si="0"/>
        <v>0</v>
      </c>
      <c r="I27" s="150"/>
      <c r="J27" s="148"/>
      <c r="K27" s="148" t="s">
        <v>53</v>
      </c>
      <c r="L27" s="148" t="s">
        <v>1151</v>
      </c>
      <c r="M27" s="151"/>
    </row>
    <row r="28" spans="1:41" s="144" customFormat="1" ht="16" customHeight="1">
      <c r="A28" s="332"/>
      <c r="B28" s="153"/>
      <c r="C28" s="154"/>
      <c r="D28" s="155" t="s">
        <v>732</v>
      </c>
      <c r="E28" s="156">
        <f>SUM(E9:E27)</f>
        <v>64</v>
      </c>
      <c r="F28" s="156">
        <f>SUM(F9:F27)</f>
        <v>110</v>
      </c>
      <c r="G28" s="156">
        <f>SUM(G9:G27)</f>
        <v>1282</v>
      </c>
      <c r="H28" s="157"/>
      <c r="I28" s="158"/>
      <c r="J28" s="157"/>
      <c r="K28" s="157"/>
      <c r="L28" s="159"/>
      <c r="M28" s="157"/>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row>
    <row r="29" spans="1:41" s="144" customFormat="1" ht="16" customHeight="1">
      <c r="A29" s="332"/>
      <c r="B29" s="140" t="s">
        <v>587</v>
      </c>
      <c r="C29" s="141"/>
      <c r="D29" s="141"/>
      <c r="E29" s="141"/>
      <c r="F29" s="141"/>
      <c r="G29" s="141"/>
      <c r="H29" s="141"/>
      <c r="I29" s="141"/>
      <c r="J29" s="142"/>
      <c r="K29" s="142"/>
      <c r="L29" s="160"/>
      <c r="M29" s="143"/>
    </row>
    <row r="30" spans="1:41" s="144" customFormat="1" ht="16" customHeight="1">
      <c r="A30" s="332"/>
      <c r="B30" s="149" t="str">
        <f>'Deploy Parameters'!F145</f>
        <v>lax01vropsc01a</v>
      </c>
      <c r="C30" s="146" t="s">
        <v>184</v>
      </c>
      <c r="D30" s="149" t="s">
        <v>52</v>
      </c>
      <c r="E30" s="148">
        <v>2</v>
      </c>
      <c r="F30" s="148">
        <v>4</v>
      </c>
      <c r="G30" s="148">
        <v>274</v>
      </c>
      <c r="H30" s="148">
        <f>F30*I30</f>
        <v>0</v>
      </c>
      <c r="I30" s="150"/>
      <c r="J30" s="148"/>
      <c r="K30" s="148" t="s">
        <v>53</v>
      </c>
      <c r="L30" s="161">
        <v>7</v>
      </c>
      <c r="M30" s="151"/>
    </row>
    <row r="31" spans="1:41" s="144" customFormat="1" ht="16" customHeight="1">
      <c r="A31" s="332"/>
      <c r="B31" s="149" t="str">
        <f>'Deploy Parameters'!F146</f>
        <v>lax01vropsc01b</v>
      </c>
      <c r="C31" s="146" t="s">
        <v>184</v>
      </c>
      <c r="D31" s="149" t="s">
        <v>52</v>
      </c>
      <c r="E31" s="148">
        <v>2</v>
      </c>
      <c r="F31" s="148">
        <v>4</v>
      </c>
      <c r="G31" s="148">
        <v>274</v>
      </c>
      <c r="H31" s="148">
        <f>F31*I31</f>
        <v>0</v>
      </c>
      <c r="I31" s="150"/>
      <c r="J31" s="148"/>
      <c r="K31" s="148" t="s">
        <v>53</v>
      </c>
      <c r="L31" s="161">
        <v>7</v>
      </c>
      <c r="M31" s="151"/>
    </row>
    <row r="32" spans="1:41" s="144" customFormat="1" ht="16" customHeight="1">
      <c r="A32" s="332"/>
      <c r="B32" s="149" t="str">
        <f>'Deploy Parameters'!F153</f>
        <v>lax01vrli01a</v>
      </c>
      <c r="C32" s="146" t="s">
        <v>124</v>
      </c>
      <c r="D32" s="149" t="s">
        <v>52</v>
      </c>
      <c r="E32" s="148">
        <v>8</v>
      </c>
      <c r="F32" s="148">
        <v>16</v>
      </c>
      <c r="G32" s="148">
        <v>1232</v>
      </c>
      <c r="H32" s="148">
        <f>F32*I32</f>
        <v>0</v>
      </c>
      <c r="I32" s="150"/>
      <c r="J32" s="148"/>
      <c r="K32" s="148" t="s">
        <v>53</v>
      </c>
      <c r="L32" s="161">
        <v>4.7</v>
      </c>
      <c r="M32" s="359"/>
    </row>
    <row r="33" spans="1:41" s="144" customFormat="1" ht="16" customHeight="1">
      <c r="A33" s="332"/>
      <c r="B33" s="149" t="str">
        <f>'Deploy Parameters'!F154</f>
        <v>lax01vrli01b</v>
      </c>
      <c r="C33" s="146" t="s">
        <v>125</v>
      </c>
      <c r="D33" s="149" t="s">
        <v>52</v>
      </c>
      <c r="E33" s="148">
        <v>8</v>
      </c>
      <c r="F33" s="148">
        <v>16</v>
      </c>
      <c r="G33" s="148">
        <v>1232</v>
      </c>
      <c r="H33" s="148">
        <f>F33*I33</f>
        <v>0</v>
      </c>
      <c r="I33" s="150"/>
      <c r="J33" s="148"/>
      <c r="K33" s="148" t="s">
        <v>53</v>
      </c>
      <c r="L33" s="161">
        <v>4.7</v>
      </c>
      <c r="M33" s="360"/>
    </row>
    <row r="34" spans="1:41" s="144" customFormat="1" ht="16" customHeight="1">
      <c r="A34" s="332"/>
      <c r="B34" s="149" t="str">
        <f>'Deploy Parameters'!F155</f>
        <v>lax01vrli01c</v>
      </c>
      <c r="C34" s="146" t="s">
        <v>125</v>
      </c>
      <c r="D34" s="149" t="s">
        <v>52</v>
      </c>
      <c r="E34" s="148">
        <v>8</v>
      </c>
      <c r="F34" s="148">
        <v>16</v>
      </c>
      <c r="G34" s="148">
        <v>1232</v>
      </c>
      <c r="H34" s="148">
        <f>F34*I34</f>
        <v>0</v>
      </c>
      <c r="I34" s="150"/>
      <c r="J34" s="148"/>
      <c r="K34" s="148" t="s">
        <v>53</v>
      </c>
      <c r="L34" s="161">
        <v>4.7</v>
      </c>
      <c r="M34" s="361"/>
      <c r="N34" s="333"/>
      <c r="O34" s="333"/>
      <c r="P34" s="333"/>
      <c r="Q34" s="333"/>
      <c r="R34" s="333"/>
      <c r="S34" s="333"/>
      <c r="T34" s="333"/>
      <c r="U34" s="333"/>
      <c r="V34" s="333"/>
      <c r="W34" s="333"/>
      <c r="X34" s="333"/>
      <c r="Y34" s="333"/>
      <c r="Z34" s="333"/>
      <c r="AA34" s="333"/>
      <c r="AB34" s="333"/>
      <c r="AC34" s="333"/>
      <c r="AD34" s="333"/>
      <c r="AE34" s="333"/>
      <c r="AF34" s="333"/>
      <c r="AG34" s="333"/>
      <c r="AH34" s="333"/>
      <c r="AI34" s="333"/>
      <c r="AJ34" s="333"/>
      <c r="AK34" s="333"/>
      <c r="AL34" s="333"/>
      <c r="AM34" s="333"/>
      <c r="AN34" s="333"/>
      <c r="AO34" s="333"/>
    </row>
    <row r="35" spans="1:41" s="127" customFormat="1" ht="16" customHeight="1">
      <c r="A35" s="124"/>
      <c r="B35" s="53" t="str">
        <f>'Deploy Parameters'!F172</f>
        <v>lax01umds01</v>
      </c>
      <c r="C35" s="51" t="s">
        <v>1154</v>
      </c>
      <c r="D35" s="53" t="s">
        <v>1155</v>
      </c>
      <c r="E35" s="52">
        <v>2</v>
      </c>
      <c r="F35" s="52">
        <v>2</v>
      </c>
      <c r="G35" s="52">
        <v>120</v>
      </c>
      <c r="H35" s="52">
        <f t="shared" ref="H35" si="1">F35*I35</f>
        <v>0</v>
      </c>
      <c r="I35" s="54"/>
      <c r="J35" s="52"/>
      <c r="K35" s="52" t="s">
        <v>53</v>
      </c>
      <c r="L35" s="52" t="s">
        <v>1150</v>
      </c>
      <c r="M35" s="125"/>
      <c r="N35" s="333"/>
      <c r="O35" s="333"/>
      <c r="P35" s="333"/>
      <c r="Q35" s="333"/>
      <c r="R35" s="333"/>
      <c r="S35" s="333"/>
      <c r="T35" s="333"/>
      <c r="U35" s="333"/>
      <c r="V35" s="333"/>
      <c r="W35" s="333"/>
      <c r="X35" s="333"/>
      <c r="Y35" s="333"/>
      <c r="Z35" s="333"/>
      <c r="AA35" s="333"/>
      <c r="AB35" s="333"/>
      <c r="AC35" s="333"/>
      <c r="AD35" s="333"/>
      <c r="AE35" s="333"/>
      <c r="AF35" s="333"/>
      <c r="AG35" s="333"/>
      <c r="AH35" s="333"/>
      <c r="AI35" s="333"/>
      <c r="AJ35" s="333"/>
      <c r="AK35" s="333"/>
      <c r="AL35" s="333"/>
      <c r="AM35" s="333"/>
      <c r="AN35" s="333"/>
      <c r="AO35" s="333"/>
    </row>
    <row r="36" spans="1:41" s="144" customFormat="1" ht="16" customHeight="1">
      <c r="A36" s="332"/>
      <c r="B36" s="153"/>
      <c r="C36" s="154"/>
      <c r="D36" s="155" t="s">
        <v>733</v>
      </c>
      <c r="E36" s="156">
        <f>SUM(E30:E34)</f>
        <v>28</v>
      </c>
      <c r="F36" s="156">
        <f>SUM(F30:F34)</f>
        <v>56</v>
      </c>
      <c r="G36" s="156">
        <f>SUM(G30:G34)</f>
        <v>4244</v>
      </c>
      <c r="H36" s="157"/>
      <c r="I36" s="158"/>
      <c r="J36" s="157"/>
      <c r="K36" s="157"/>
      <c r="L36" s="159"/>
      <c r="M36" s="157"/>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2"/>
      <c r="AM36" s="152"/>
      <c r="AN36" s="152"/>
      <c r="AO36" s="152"/>
    </row>
    <row r="37" spans="1:41" s="144" customFormat="1" ht="16" customHeight="1">
      <c r="A37" s="332"/>
      <c r="B37" s="162" t="s">
        <v>588</v>
      </c>
      <c r="C37" s="141"/>
      <c r="D37" s="141"/>
      <c r="E37" s="141"/>
      <c r="F37" s="141"/>
      <c r="G37" s="141"/>
      <c r="H37" s="141"/>
      <c r="I37" s="141"/>
      <c r="J37" s="142"/>
      <c r="K37" s="142"/>
      <c r="L37" s="160"/>
      <c r="M37" s="143"/>
    </row>
    <row r="38" spans="1:41" s="144" customFormat="1" ht="16" customHeight="1">
      <c r="A38" s="332"/>
      <c r="B38" s="149" t="str">
        <f>'Deploy Parameters'!F115</f>
        <v>lax01ias01a</v>
      </c>
      <c r="C38" s="146" t="s">
        <v>138</v>
      </c>
      <c r="D38" s="149" t="s">
        <v>1153</v>
      </c>
      <c r="E38" s="148">
        <v>2</v>
      </c>
      <c r="F38" s="148">
        <v>8</v>
      </c>
      <c r="G38" s="148">
        <v>60</v>
      </c>
      <c r="H38" s="148">
        <f>F38*I38</f>
        <v>0</v>
      </c>
      <c r="I38" s="150"/>
      <c r="J38" s="148"/>
      <c r="K38" s="148" t="s">
        <v>53</v>
      </c>
      <c r="L38" s="161" t="s">
        <v>54</v>
      </c>
      <c r="M38" s="362"/>
    </row>
    <row r="39" spans="1:41" s="144" customFormat="1" ht="16" customHeight="1">
      <c r="A39" s="332"/>
      <c r="B39" s="149" t="str">
        <f>'Deploy Parameters'!F116</f>
        <v>lax01ias01b</v>
      </c>
      <c r="C39" s="146" t="s">
        <v>139</v>
      </c>
      <c r="D39" s="149" t="s">
        <v>1153</v>
      </c>
      <c r="E39" s="148">
        <v>2</v>
      </c>
      <c r="F39" s="148">
        <v>8</v>
      </c>
      <c r="G39" s="148">
        <v>60</v>
      </c>
      <c r="H39" s="148">
        <f>F39*I39</f>
        <v>0</v>
      </c>
      <c r="I39" s="150"/>
      <c r="J39" s="148"/>
      <c r="K39" s="148" t="s">
        <v>53</v>
      </c>
      <c r="L39" s="161" t="s">
        <v>54</v>
      </c>
      <c r="M39" s="362"/>
    </row>
    <row r="40" spans="1:41" s="144" customFormat="1" ht="16" customHeight="1">
      <c r="A40" s="332"/>
      <c r="B40" s="149" t="str">
        <f>'Deploy Parameters'!F139</f>
        <v>lax01vrbc01</v>
      </c>
      <c r="C40" s="146" t="s">
        <v>1166</v>
      </c>
      <c r="D40" s="149" t="s">
        <v>52</v>
      </c>
      <c r="E40" s="148">
        <v>4</v>
      </c>
      <c r="F40" s="148">
        <v>2</v>
      </c>
      <c r="G40" s="148">
        <v>50</v>
      </c>
      <c r="H40" s="148"/>
      <c r="I40" s="150"/>
      <c r="J40" s="148"/>
      <c r="K40" s="148" t="s">
        <v>53</v>
      </c>
      <c r="L40" s="161">
        <v>7.5</v>
      </c>
      <c r="M40" s="163"/>
    </row>
    <row r="41" spans="1:41" s="144" customFormat="1" ht="16" customHeight="1">
      <c r="A41" s="332"/>
      <c r="B41" s="153"/>
      <c r="C41" s="154"/>
      <c r="D41" s="155" t="s">
        <v>734</v>
      </c>
      <c r="E41" s="164">
        <f>SUM(E38:E40)</f>
        <v>8</v>
      </c>
      <c r="F41" s="164">
        <f>SUM(F38:F40)</f>
        <v>18</v>
      </c>
      <c r="G41" s="164">
        <f>SUM(G38:G40)</f>
        <v>170</v>
      </c>
      <c r="H41" s="157"/>
      <c r="I41" s="157"/>
      <c r="J41" s="157"/>
      <c r="K41" s="157"/>
      <c r="L41" s="159"/>
      <c r="M41" s="157"/>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row>
    <row r="42" spans="1:41" s="144" customFormat="1" ht="16" customHeight="1">
      <c r="A42" s="332"/>
      <c r="B42" s="140" t="s">
        <v>689</v>
      </c>
      <c r="C42" s="141"/>
      <c r="D42" s="141"/>
      <c r="E42" s="141"/>
      <c r="F42" s="141"/>
      <c r="G42" s="141"/>
      <c r="H42" s="141"/>
      <c r="I42" s="141"/>
      <c r="J42" s="142"/>
      <c r="K42" s="142"/>
      <c r="L42" s="160"/>
      <c r="M42" s="143"/>
    </row>
    <row r="43" spans="1:41" s="144" customFormat="1" ht="16" customHeight="1">
      <c r="A43" s="332"/>
      <c r="B43" s="149" t="str">
        <f>'Deploy Parameters'!F175</f>
        <v>lax01m01srm01</v>
      </c>
      <c r="C43" s="146" t="s">
        <v>375</v>
      </c>
      <c r="D43" s="149" t="s">
        <v>1153</v>
      </c>
      <c r="E43" s="148">
        <v>2</v>
      </c>
      <c r="F43" s="148">
        <v>4</v>
      </c>
      <c r="G43" s="148">
        <v>40</v>
      </c>
      <c r="H43" s="148">
        <f>F43*I43</f>
        <v>0</v>
      </c>
      <c r="I43" s="150"/>
      <c r="J43" s="148"/>
      <c r="K43" s="148" t="s">
        <v>53</v>
      </c>
      <c r="L43" s="161" t="s">
        <v>1152</v>
      </c>
      <c r="M43" s="211"/>
    </row>
    <row r="44" spans="1:41" s="144" customFormat="1" ht="16" customHeight="1">
      <c r="A44" s="332"/>
      <c r="B44" s="149" t="str">
        <f>'Deploy Parameters'!F182</f>
        <v>lax01m01vrms01</v>
      </c>
      <c r="C44" s="146" t="s">
        <v>376</v>
      </c>
      <c r="D44" s="149" t="s">
        <v>52</v>
      </c>
      <c r="E44" s="148">
        <v>4</v>
      </c>
      <c r="F44" s="148">
        <v>4</v>
      </c>
      <c r="G44" s="148">
        <v>18</v>
      </c>
      <c r="H44" s="148">
        <f>F44*I44</f>
        <v>0</v>
      </c>
      <c r="I44" s="150"/>
      <c r="J44" s="148"/>
      <c r="K44" s="148" t="s">
        <v>53</v>
      </c>
      <c r="L44" s="161" t="s">
        <v>1152</v>
      </c>
      <c r="M44" s="151"/>
    </row>
    <row r="45" spans="1:41" s="144" customFormat="1" ht="16" customHeight="1">
      <c r="A45" s="332"/>
      <c r="B45" s="153"/>
      <c r="C45" s="154"/>
      <c r="D45" s="155" t="s">
        <v>735</v>
      </c>
      <c r="E45" s="165">
        <f>SUM(E43:E44)</f>
        <v>6</v>
      </c>
      <c r="F45" s="165">
        <f>SUM(F43:F44)</f>
        <v>8</v>
      </c>
      <c r="G45" s="165">
        <f>SUM(G43:G44)</f>
        <v>58</v>
      </c>
      <c r="H45" s="157"/>
      <c r="I45" s="157"/>
      <c r="J45" s="157"/>
      <c r="K45" s="157"/>
      <c r="L45" s="159"/>
      <c r="M45" s="157"/>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row>
    <row r="46" spans="1:41" s="152" customFormat="1" ht="16" customHeight="1">
      <c r="A46" s="332"/>
      <c r="B46" s="166"/>
      <c r="C46" s="166"/>
      <c r="D46" s="167" t="s">
        <v>736</v>
      </c>
      <c r="E46" s="165">
        <f>E45+E41+E36+E28</f>
        <v>106</v>
      </c>
      <c r="F46" s="165">
        <f>F45+F41+F36+F28</f>
        <v>192</v>
      </c>
      <c r="G46" s="165">
        <f>G45+G41+G36+G28</f>
        <v>5754</v>
      </c>
      <c r="H46" s="166" t="s">
        <v>737</v>
      </c>
      <c r="I46" s="157"/>
      <c r="J46" s="157">
        <f>SUMIF(J9:J40,"x",G9:G40)</f>
        <v>0</v>
      </c>
      <c r="K46" s="157"/>
      <c r="L46" s="168"/>
      <c r="M46" s="169"/>
    </row>
    <row r="47" spans="1:41" s="152" customFormat="1" ht="16" customHeight="1">
      <c r="A47" s="332"/>
      <c r="G47" s="169"/>
      <c r="I47" s="169"/>
      <c r="L47" s="168"/>
      <c r="M47" s="169"/>
    </row>
    <row r="48" spans="1:41" s="139" customFormat="1" ht="16" customHeight="1">
      <c r="A48" s="336"/>
      <c r="B48" s="347" t="s">
        <v>1168</v>
      </c>
      <c r="C48" s="348"/>
      <c r="D48" s="138"/>
      <c r="E48" s="138"/>
      <c r="F48" s="138"/>
      <c r="G48" s="138"/>
      <c r="H48" s="138"/>
      <c r="I48" s="138"/>
      <c r="J48" s="138"/>
      <c r="K48" s="138"/>
      <c r="L48" s="170"/>
      <c r="M48" s="138"/>
    </row>
    <row r="49" spans="1:13" s="139" customFormat="1" ht="34" customHeight="1">
      <c r="A49" s="336"/>
      <c r="B49" s="136" t="s">
        <v>43</v>
      </c>
      <c r="C49" s="136" t="s">
        <v>44</v>
      </c>
      <c r="D49" s="136" t="s">
        <v>45</v>
      </c>
      <c r="E49" s="136" t="s">
        <v>46</v>
      </c>
      <c r="F49" s="136" t="s">
        <v>47</v>
      </c>
      <c r="G49" s="136" t="s">
        <v>262</v>
      </c>
      <c r="H49" s="136" t="s">
        <v>49</v>
      </c>
      <c r="I49" s="136" t="s">
        <v>50</v>
      </c>
      <c r="J49" s="136" t="s">
        <v>80</v>
      </c>
      <c r="K49" s="136" t="s">
        <v>731</v>
      </c>
      <c r="L49" s="171" t="s">
        <v>51</v>
      </c>
      <c r="M49" s="136"/>
    </row>
    <row r="50" spans="1:13" s="144" customFormat="1" ht="16" customHeight="1">
      <c r="A50" s="332"/>
      <c r="B50" s="149" t="s">
        <v>331</v>
      </c>
      <c r="C50" s="146" t="s">
        <v>328</v>
      </c>
      <c r="D50" s="149" t="s">
        <v>52</v>
      </c>
      <c r="E50" s="148">
        <v>4</v>
      </c>
      <c r="F50" s="148">
        <v>4</v>
      </c>
      <c r="G50" s="148">
        <v>20</v>
      </c>
      <c r="H50" s="148">
        <f t="shared" ref="H50:H56" si="2">F50*I50</f>
        <v>0</v>
      </c>
      <c r="I50" s="150"/>
      <c r="J50" s="148"/>
      <c r="K50" s="148"/>
      <c r="L50" s="148" t="s">
        <v>1151</v>
      </c>
      <c r="M50" s="151"/>
    </row>
    <row r="51" spans="1:13" s="144" customFormat="1" ht="16" customHeight="1">
      <c r="A51" s="332"/>
      <c r="B51" s="149" t="s">
        <v>332</v>
      </c>
      <c r="C51" s="146" t="s">
        <v>330</v>
      </c>
      <c r="D51" s="149" t="s">
        <v>52</v>
      </c>
      <c r="E51" s="148">
        <v>4</v>
      </c>
      <c r="F51" s="148">
        <v>4</v>
      </c>
      <c r="G51" s="148">
        <v>20</v>
      </c>
      <c r="H51" s="148">
        <f t="shared" si="2"/>
        <v>0</v>
      </c>
      <c r="I51" s="150"/>
      <c r="J51" s="148"/>
      <c r="K51" s="148"/>
      <c r="L51" s="148" t="s">
        <v>1151</v>
      </c>
      <c r="M51" s="151"/>
    </row>
    <row r="52" spans="1:13" s="144" customFormat="1" ht="16" customHeight="1">
      <c r="A52" s="332"/>
      <c r="B52" s="149" t="s">
        <v>333</v>
      </c>
      <c r="C52" s="146" t="s">
        <v>329</v>
      </c>
      <c r="D52" s="149" t="s">
        <v>52</v>
      </c>
      <c r="E52" s="148">
        <v>4</v>
      </c>
      <c r="F52" s="148">
        <v>4</v>
      </c>
      <c r="G52" s="148">
        <v>20</v>
      </c>
      <c r="H52" s="148">
        <f t="shared" si="2"/>
        <v>0</v>
      </c>
      <c r="I52" s="150"/>
      <c r="J52" s="148"/>
      <c r="K52" s="148"/>
      <c r="L52" s="148" t="s">
        <v>1151</v>
      </c>
      <c r="M52" s="151"/>
    </row>
    <row r="53" spans="1:13" s="144" customFormat="1" ht="16" customHeight="1">
      <c r="A53" s="332"/>
      <c r="B53" s="149" t="str">
        <f>'Deploy Parameters'!J81</f>
        <v>lax01w01esg01</v>
      </c>
      <c r="C53" s="146" t="s">
        <v>263</v>
      </c>
      <c r="D53" s="149" t="s">
        <v>52</v>
      </c>
      <c r="E53" s="148">
        <v>2</v>
      </c>
      <c r="F53" s="148">
        <v>1</v>
      </c>
      <c r="G53" s="148">
        <v>1</v>
      </c>
      <c r="H53" s="148">
        <f t="shared" si="2"/>
        <v>0</v>
      </c>
      <c r="I53" s="150"/>
      <c r="J53" s="148"/>
      <c r="K53" s="148" t="s">
        <v>53</v>
      </c>
      <c r="L53" s="148" t="s">
        <v>1151</v>
      </c>
      <c r="M53" s="151"/>
    </row>
    <row r="54" spans="1:13" s="144" customFormat="1" ht="16" customHeight="1">
      <c r="A54" s="332"/>
      <c r="B54" s="149" t="str">
        <f>'Deploy Parameters'!J85</f>
        <v>lax01w01esg02</v>
      </c>
      <c r="C54" s="146" t="s">
        <v>264</v>
      </c>
      <c r="D54" s="149" t="s">
        <v>52</v>
      </c>
      <c r="E54" s="148">
        <v>2</v>
      </c>
      <c r="F54" s="148">
        <v>1</v>
      </c>
      <c r="G54" s="148">
        <v>1</v>
      </c>
      <c r="H54" s="148">
        <f t="shared" si="2"/>
        <v>0</v>
      </c>
      <c r="I54" s="150"/>
      <c r="J54" s="148"/>
      <c r="K54" s="148" t="s">
        <v>53</v>
      </c>
      <c r="L54" s="148" t="s">
        <v>1151</v>
      </c>
      <c r="M54" s="151"/>
    </row>
    <row r="55" spans="1:13" s="144" customFormat="1" ht="16" customHeight="1">
      <c r="A55" s="332"/>
      <c r="B55" s="149" t="s">
        <v>456</v>
      </c>
      <c r="C55" s="146" t="s">
        <v>297</v>
      </c>
      <c r="D55" s="149" t="s">
        <v>52</v>
      </c>
      <c r="E55" s="148">
        <v>2</v>
      </c>
      <c r="F55" s="148">
        <v>1</v>
      </c>
      <c r="G55" s="148">
        <v>1</v>
      </c>
      <c r="H55" s="148">
        <f t="shared" si="2"/>
        <v>0</v>
      </c>
      <c r="I55" s="150"/>
      <c r="J55" s="148"/>
      <c r="K55" s="148" t="s">
        <v>53</v>
      </c>
      <c r="L55" s="148" t="s">
        <v>1151</v>
      </c>
      <c r="M55" s="151"/>
    </row>
    <row r="56" spans="1:13" s="144" customFormat="1" ht="16" customHeight="1">
      <c r="A56" s="332"/>
      <c r="B56" s="149" t="s">
        <v>455</v>
      </c>
      <c r="C56" s="146" t="s">
        <v>298</v>
      </c>
      <c r="D56" s="149" t="s">
        <v>52</v>
      </c>
      <c r="E56" s="148">
        <v>2</v>
      </c>
      <c r="F56" s="148">
        <v>1</v>
      </c>
      <c r="G56" s="148">
        <v>1</v>
      </c>
      <c r="H56" s="148">
        <f t="shared" si="2"/>
        <v>0</v>
      </c>
      <c r="I56" s="150"/>
      <c r="J56" s="148"/>
      <c r="K56" s="148" t="s">
        <v>53</v>
      </c>
      <c r="L56" s="148" t="s">
        <v>1151</v>
      </c>
      <c r="M56" s="151"/>
    </row>
    <row r="57" spans="1:13" s="152" customFormat="1" ht="16" customHeight="1">
      <c r="A57" s="332"/>
      <c r="D57" s="167" t="s">
        <v>732</v>
      </c>
      <c r="E57" s="165">
        <f>SUM(E50:E56)</f>
        <v>20</v>
      </c>
      <c r="F57" s="165">
        <f>SUM(F50:F56)</f>
        <v>16</v>
      </c>
      <c r="G57" s="165">
        <f>SUM(G50:G56)</f>
        <v>64</v>
      </c>
      <c r="L57" s="169"/>
      <c r="M57" s="169"/>
    </row>
    <row r="58" spans="1:13" s="152" customFormat="1" ht="16" customHeight="1">
      <c r="A58" s="332"/>
      <c r="L58" s="169"/>
      <c r="M58" s="169"/>
    </row>
    <row r="59" spans="1:13" s="152" customFormat="1" ht="16" customHeight="1">
      <c r="A59" s="332"/>
      <c r="D59" s="349" t="s">
        <v>294</v>
      </c>
      <c r="E59" s="350"/>
      <c r="F59" s="350"/>
      <c r="G59" s="350"/>
      <c r="H59" s="351"/>
      <c r="I59" s="351"/>
      <c r="J59" s="351"/>
      <c r="K59" s="351"/>
      <c r="L59" s="169"/>
      <c r="M59" s="169"/>
    </row>
    <row r="60" spans="1:13" s="152" customFormat="1" ht="16" customHeight="1" thickBot="1">
      <c r="A60" s="332"/>
      <c r="E60" s="172" t="s">
        <v>55</v>
      </c>
      <c r="F60" s="172" t="s">
        <v>47</v>
      </c>
      <c r="G60" s="172" t="s">
        <v>48</v>
      </c>
      <c r="J60" s="156"/>
      <c r="K60" s="156"/>
      <c r="L60" s="169"/>
      <c r="M60" s="169"/>
    </row>
    <row r="61" spans="1:13" s="152" customFormat="1" ht="16" customHeight="1" thickBot="1">
      <c r="A61" s="332"/>
      <c r="D61" s="166" t="s">
        <v>56</v>
      </c>
      <c r="E61" s="173">
        <f>E46</f>
        <v>106</v>
      </c>
      <c r="F61" s="173">
        <f>F46</f>
        <v>192</v>
      </c>
      <c r="G61" s="173">
        <f>G46</f>
        <v>5754</v>
      </c>
      <c r="J61" s="157"/>
      <c r="K61" s="157"/>
      <c r="L61" s="169"/>
      <c r="M61" s="169"/>
    </row>
    <row r="62" spans="1:13" s="152" customFormat="1" ht="16" customHeight="1" thickBot="1">
      <c r="A62" s="332"/>
      <c r="D62" s="166" t="s">
        <v>57</v>
      </c>
      <c r="G62" s="173"/>
      <c r="L62" s="169"/>
      <c r="M62" s="169"/>
    </row>
    <row r="63" spans="1:13" s="152" customFormat="1" ht="16" customHeight="1">
      <c r="A63" s="332"/>
      <c r="D63" s="166" t="s">
        <v>58</v>
      </c>
      <c r="E63" s="169"/>
      <c r="F63" s="169"/>
      <c r="G63" s="169">
        <f>G61+G62</f>
        <v>5754</v>
      </c>
      <c r="J63" s="169"/>
      <c r="K63" s="169"/>
      <c r="L63" s="169"/>
      <c r="M63" s="169"/>
    </row>
    <row r="64" spans="1:13" s="152" customFormat="1" ht="16" customHeight="1">
      <c r="A64" s="332"/>
      <c r="D64" s="166" t="s">
        <v>59</v>
      </c>
      <c r="E64" s="169"/>
      <c r="F64" s="169"/>
      <c r="G64" s="169">
        <f>G63*1.3</f>
        <v>7480.2</v>
      </c>
      <c r="J64" s="169"/>
      <c r="K64" s="169"/>
      <c r="L64" s="169"/>
      <c r="M64" s="169"/>
    </row>
    <row r="65" spans="1:15" s="152" customFormat="1" ht="16" customHeight="1" thickBot="1">
      <c r="A65" s="332"/>
      <c r="L65" s="169"/>
      <c r="M65" s="169"/>
    </row>
    <row r="66" spans="1:15" s="152" customFormat="1" ht="16" customHeight="1" thickBot="1">
      <c r="A66" s="332"/>
      <c r="D66" s="344" t="s">
        <v>60</v>
      </c>
      <c r="E66" s="345"/>
      <c r="F66" s="345"/>
      <c r="G66" s="346"/>
      <c r="I66" s="174" t="s">
        <v>61</v>
      </c>
      <c r="J66" s="175"/>
      <c r="K66" s="175"/>
      <c r="L66" s="176"/>
      <c r="M66" s="154"/>
    </row>
    <row r="67" spans="1:15" s="152" customFormat="1" ht="16" customHeight="1">
      <c r="A67" s="332"/>
      <c r="D67" s="352" t="s">
        <v>62</v>
      </c>
      <c r="E67" s="353"/>
      <c r="F67" s="205">
        <v>4</v>
      </c>
      <c r="G67" s="177" t="s">
        <v>6</v>
      </c>
      <c r="I67" s="178" t="s">
        <v>305</v>
      </c>
      <c r="J67" s="179"/>
      <c r="K67" s="180">
        <f>(L72*L73)*F67</f>
        <v>16384</v>
      </c>
      <c r="L67" s="181" t="s">
        <v>63</v>
      </c>
    </row>
    <row r="68" spans="1:15" s="152" customFormat="1" ht="16" customHeight="1">
      <c r="A68" s="332"/>
      <c r="D68" s="352" t="s">
        <v>64</v>
      </c>
      <c r="E68" s="353"/>
      <c r="F68" s="205">
        <v>1</v>
      </c>
      <c r="G68" s="177" t="s">
        <v>6</v>
      </c>
      <c r="I68" s="182" t="s">
        <v>65</v>
      </c>
      <c r="J68" s="154"/>
      <c r="K68" s="154">
        <f>F68</f>
        <v>1</v>
      </c>
      <c r="L68" s="177" t="s">
        <v>6</v>
      </c>
    </row>
    <row r="69" spans="1:15" s="152" customFormat="1" ht="16" customHeight="1" thickBot="1">
      <c r="A69" s="332"/>
      <c r="D69" s="354" t="s">
        <v>66</v>
      </c>
      <c r="E69" s="355"/>
      <c r="F69" s="173">
        <f>F67-F68</f>
        <v>3</v>
      </c>
      <c r="G69" s="183" t="s">
        <v>6</v>
      </c>
      <c r="I69" s="182" t="s">
        <v>67</v>
      </c>
      <c r="J69" s="154"/>
      <c r="K69" s="184">
        <v>15</v>
      </c>
      <c r="L69" s="177" t="s">
        <v>68</v>
      </c>
    </row>
    <row r="70" spans="1:15" s="152" customFormat="1" ht="16" customHeight="1" thickBot="1">
      <c r="A70" s="332"/>
      <c r="I70" s="182" t="s">
        <v>308</v>
      </c>
      <c r="J70" s="154"/>
      <c r="K70" s="185">
        <f>((K67/100*K69)+K67)/F67</f>
        <v>4710.3999999999996</v>
      </c>
      <c r="L70" s="177" t="s">
        <v>63</v>
      </c>
    </row>
    <row r="71" spans="1:15" s="152" customFormat="1" ht="16" customHeight="1">
      <c r="A71" s="332"/>
      <c r="D71" s="344" t="s">
        <v>1167</v>
      </c>
      <c r="E71" s="345"/>
      <c r="F71" s="345"/>
      <c r="G71" s="346"/>
      <c r="I71" s="186" t="s">
        <v>302</v>
      </c>
      <c r="J71" s="187"/>
      <c r="K71" s="188" t="s">
        <v>303</v>
      </c>
      <c r="L71" s="189" t="s">
        <v>304</v>
      </c>
      <c r="M71" s="154"/>
      <c r="N71" s="154"/>
    </row>
    <row r="72" spans="1:15" s="152" customFormat="1" ht="16" customHeight="1">
      <c r="A72" s="332"/>
      <c r="D72" s="352" t="s">
        <v>299</v>
      </c>
      <c r="E72" s="353"/>
      <c r="F72" s="185">
        <f>$F$61/$F$67</f>
        <v>48</v>
      </c>
      <c r="G72" s="177" t="s">
        <v>63</v>
      </c>
      <c r="I72" s="190" t="s">
        <v>293</v>
      </c>
      <c r="J72" s="154"/>
      <c r="K72" s="207">
        <v>300</v>
      </c>
      <c r="L72" s="208">
        <v>2048</v>
      </c>
      <c r="M72" s="154"/>
      <c r="N72" s="154"/>
    </row>
    <row r="73" spans="1:15" s="152" customFormat="1" ht="16" customHeight="1">
      <c r="A73" s="332"/>
      <c r="D73" s="352" t="s">
        <v>69</v>
      </c>
      <c r="E73" s="353"/>
      <c r="F73" s="206">
        <v>192</v>
      </c>
      <c r="G73" s="177" t="s">
        <v>63</v>
      </c>
      <c r="I73" s="182" t="s">
        <v>70</v>
      </c>
      <c r="J73" s="154"/>
      <c r="K73" s="209">
        <v>1</v>
      </c>
      <c r="L73" s="210">
        <v>2</v>
      </c>
      <c r="M73" s="154"/>
      <c r="N73" s="154"/>
    </row>
    <row r="74" spans="1:15" s="152" customFormat="1" ht="16" customHeight="1">
      <c r="A74" s="332"/>
      <c r="D74" s="352" t="s">
        <v>71</v>
      </c>
      <c r="E74" s="353"/>
      <c r="F74" s="184">
        <f>$F$72/$F$73*100</f>
        <v>25</v>
      </c>
      <c r="G74" s="177" t="s">
        <v>68</v>
      </c>
      <c r="I74" s="182" t="s">
        <v>306</v>
      </c>
      <c r="J74" s="154"/>
      <c r="K74" s="154">
        <f>(K72*K73)+(L72*L73)</f>
        <v>4396</v>
      </c>
      <c r="L74" s="177" t="s">
        <v>63</v>
      </c>
      <c r="M74" s="154"/>
      <c r="N74" s="154"/>
    </row>
    <row r="75" spans="1:15" s="152" customFormat="1" ht="16" customHeight="1" thickBot="1">
      <c r="A75" s="332"/>
      <c r="D75" s="352" t="s">
        <v>72</v>
      </c>
      <c r="E75" s="353"/>
      <c r="F75" s="154">
        <f>$F$61/$F$69</f>
        <v>64</v>
      </c>
      <c r="G75" s="177" t="s">
        <v>63</v>
      </c>
      <c r="I75" s="191" t="s">
        <v>307</v>
      </c>
      <c r="J75" s="192"/>
      <c r="K75" s="193">
        <f>K74*F67</f>
        <v>17584</v>
      </c>
      <c r="L75" s="183" t="s">
        <v>63</v>
      </c>
      <c r="M75" s="154"/>
      <c r="N75" s="154"/>
    </row>
    <row r="76" spans="1:15" s="152" customFormat="1" ht="16" customHeight="1" thickBot="1">
      <c r="A76" s="332"/>
      <c r="D76" s="354" t="s">
        <v>73</v>
      </c>
      <c r="E76" s="355"/>
      <c r="F76" s="194">
        <f>$F$75/$F$73*100</f>
        <v>33.333333333333329</v>
      </c>
      <c r="G76" s="183" t="s">
        <v>68</v>
      </c>
      <c r="L76" s="195"/>
      <c r="M76" s="195"/>
      <c r="N76" s="154"/>
      <c r="O76" s="154"/>
    </row>
    <row r="77" spans="1:15" s="152" customFormat="1" ht="16" customHeight="1" thickBot="1">
      <c r="A77" s="332"/>
      <c r="H77" s="196"/>
      <c r="I77" s="196"/>
      <c r="J77" s="154"/>
      <c r="K77" s="154"/>
      <c r="L77" s="156"/>
      <c r="M77" s="156"/>
      <c r="N77" s="154"/>
      <c r="O77" s="154"/>
    </row>
    <row r="78" spans="1:15" s="152" customFormat="1" ht="16" customHeight="1">
      <c r="A78" s="332"/>
      <c r="D78" s="344" t="s">
        <v>74</v>
      </c>
      <c r="E78" s="345"/>
      <c r="F78" s="345"/>
      <c r="G78" s="346"/>
      <c r="H78" s="185"/>
      <c r="I78" s="154"/>
      <c r="J78" s="154"/>
      <c r="K78" s="154"/>
      <c r="L78" s="195"/>
      <c r="M78" s="195"/>
      <c r="N78" s="154"/>
      <c r="O78" s="154"/>
    </row>
    <row r="79" spans="1:15" s="152" customFormat="1" ht="16" customHeight="1">
      <c r="A79" s="332"/>
      <c r="D79" s="182"/>
      <c r="E79" s="197" t="s">
        <v>75</v>
      </c>
      <c r="F79" s="206">
        <v>2</v>
      </c>
      <c r="G79" s="177" t="s">
        <v>76</v>
      </c>
      <c r="H79" s="185"/>
      <c r="I79" s="154"/>
      <c r="J79" s="154"/>
      <c r="K79" s="154"/>
      <c r="L79" s="195"/>
      <c r="M79" s="195"/>
      <c r="N79" s="154"/>
      <c r="O79" s="154"/>
    </row>
    <row r="80" spans="1:15" s="152" customFormat="1" ht="16" customHeight="1">
      <c r="A80" s="332"/>
      <c r="D80" s="182"/>
      <c r="E80" s="197" t="s">
        <v>77</v>
      </c>
      <c r="F80" s="206">
        <v>12</v>
      </c>
      <c r="G80" s="177" t="s">
        <v>78</v>
      </c>
      <c r="H80" s="154"/>
      <c r="I80" s="154"/>
      <c r="J80" s="154"/>
      <c r="K80" s="154"/>
      <c r="L80" s="157"/>
      <c r="M80" s="157"/>
      <c r="N80" s="154"/>
      <c r="O80" s="154"/>
    </row>
    <row r="81" spans="1:15" s="152" customFormat="1" ht="16" customHeight="1">
      <c r="A81" s="332"/>
      <c r="D81" s="182"/>
      <c r="E81" s="197" t="s">
        <v>69</v>
      </c>
      <c r="F81" s="185">
        <f>$F$79*$F$80</f>
        <v>24</v>
      </c>
      <c r="G81" s="177" t="s">
        <v>78</v>
      </c>
      <c r="H81" s="154"/>
      <c r="I81" s="154"/>
      <c r="J81" s="154"/>
      <c r="K81" s="154"/>
      <c r="L81" s="157"/>
      <c r="M81" s="157"/>
      <c r="N81" s="154"/>
      <c r="O81" s="154"/>
    </row>
    <row r="82" spans="1:15" s="152" customFormat="1" ht="16" customHeight="1">
      <c r="A82" s="332"/>
      <c r="D82" s="182"/>
      <c r="E82" s="197" t="s">
        <v>79</v>
      </c>
      <c r="F82" s="185">
        <f>$F$81*$F$67</f>
        <v>96</v>
      </c>
      <c r="G82" s="177" t="s">
        <v>78</v>
      </c>
      <c r="L82" s="169"/>
      <c r="M82" s="169"/>
    </row>
    <row r="83" spans="1:15" s="152" customFormat="1" ht="16" customHeight="1">
      <c r="A83" s="332"/>
      <c r="D83" s="182"/>
      <c r="E83" s="197" t="s">
        <v>300</v>
      </c>
      <c r="F83" s="198">
        <f>$E$61/($F$67*$F$81)</f>
        <v>1.1041666666666667</v>
      </c>
      <c r="G83" s="177"/>
      <c r="L83" s="169"/>
      <c r="M83" s="169"/>
    </row>
    <row r="84" spans="1:15" s="152" customFormat="1" ht="16" customHeight="1" thickBot="1">
      <c r="A84" s="332"/>
      <c r="D84" s="191"/>
      <c r="E84" s="199" t="s">
        <v>301</v>
      </c>
      <c r="F84" s="200">
        <f>E61/(F69*F81)</f>
        <v>1.4722222222222223</v>
      </c>
      <c r="G84" s="183"/>
      <c r="L84" s="169"/>
      <c r="M84" s="169"/>
    </row>
    <row r="85" spans="1:15" s="201" customFormat="1">
      <c r="L85" s="202"/>
      <c r="M85" s="202"/>
    </row>
    <row r="86" spans="1:15" s="201" customFormat="1">
      <c r="L86" s="202"/>
      <c r="M86" s="202"/>
    </row>
    <row r="87" spans="1:15" s="201" customFormat="1">
      <c r="L87" s="202"/>
      <c r="M87" s="202"/>
    </row>
    <row r="88" spans="1:15" s="201" customFormat="1">
      <c r="L88" s="202"/>
      <c r="M88" s="202"/>
    </row>
    <row r="89" spans="1:15" s="201" customFormat="1">
      <c r="L89" s="202"/>
      <c r="M89" s="202"/>
    </row>
    <row r="90" spans="1:15" s="201" customFormat="1">
      <c r="L90" s="202"/>
      <c r="M90" s="202"/>
    </row>
    <row r="91" spans="1:15" s="201" customFormat="1">
      <c r="L91" s="202"/>
      <c r="M91" s="202"/>
    </row>
    <row r="92" spans="1:15" s="201" customFormat="1">
      <c r="L92" s="202"/>
      <c r="M92" s="202"/>
    </row>
    <row r="93" spans="1:15" s="201" customFormat="1">
      <c r="L93" s="202"/>
      <c r="M93" s="202"/>
    </row>
    <row r="94" spans="1:15" s="201" customFormat="1">
      <c r="L94" s="202"/>
      <c r="M94" s="202"/>
    </row>
    <row r="95" spans="1:15" s="201" customFormat="1">
      <c r="L95" s="202"/>
      <c r="M95" s="202"/>
    </row>
    <row r="96" spans="1:15" s="201" customFormat="1">
      <c r="L96" s="202"/>
      <c r="M96" s="202"/>
    </row>
    <row r="97" spans="12:13" s="201" customFormat="1">
      <c r="L97" s="202"/>
      <c r="M97" s="202"/>
    </row>
    <row r="98" spans="12:13" s="201" customFormat="1">
      <c r="L98" s="202"/>
      <c r="M98" s="202"/>
    </row>
    <row r="99" spans="12:13" s="201" customFormat="1">
      <c r="L99" s="202"/>
      <c r="M99" s="202"/>
    </row>
    <row r="100" spans="12:13" s="201" customFormat="1">
      <c r="L100" s="202"/>
      <c r="M100" s="202"/>
    </row>
    <row r="101" spans="12:13" s="201" customFormat="1">
      <c r="L101" s="202"/>
      <c r="M101" s="202"/>
    </row>
    <row r="102" spans="12:13" s="201" customFormat="1">
      <c r="L102" s="202"/>
      <c r="M102" s="202"/>
    </row>
    <row r="103" spans="12:13" s="201" customFormat="1">
      <c r="L103" s="202"/>
      <c r="M103" s="202"/>
    </row>
    <row r="104" spans="12:13" s="201" customFormat="1">
      <c r="L104" s="202"/>
      <c r="M104" s="202"/>
    </row>
    <row r="105" spans="12:13" s="201" customFormat="1">
      <c r="L105" s="202"/>
      <c r="M105" s="202"/>
    </row>
    <row r="106" spans="12:13" s="201" customFormat="1">
      <c r="L106" s="202"/>
      <c r="M106" s="202"/>
    </row>
    <row r="107" spans="12:13" s="201" customFormat="1">
      <c r="L107" s="202"/>
      <c r="M107" s="202"/>
    </row>
    <row r="108" spans="12:13" s="201" customFormat="1">
      <c r="L108" s="202"/>
      <c r="M108" s="202"/>
    </row>
    <row r="109" spans="12:13" s="201" customFormat="1">
      <c r="L109" s="202"/>
      <c r="M109" s="202"/>
    </row>
    <row r="110" spans="12:13" s="201" customFormat="1">
      <c r="L110" s="202"/>
      <c r="M110" s="202"/>
    </row>
    <row r="111" spans="12:13" s="201" customFormat="1">
      <c r="L111" s="202"/>
      <c r="M111" s="202"/>
    </row>
    <row r="112" spans="12:13" s="201" customFormat="1">
      <c r="L112" s="202"/>
      <c r="M112" s="202"/>
    </row>
    <row r="113" spans="12:13" s="201" customFormat="1">
      <c r="L113" s="202"/>
      <c r="M113" s="202"/>
    </row>
    <row r="114" spans="12:13" s="201" customFormat="1">
      <c r="L114" s="202"/>
      <c r="M114" s="202"/>
    </row>
    <row r="115" spans="12:13" s="201" customFormat="1">
      <c r="L115" s="202"/>
      <c r="M115" s="202"/>
    </row>
    <row r="116" spans="12:13" s="201" customFormat="1">
      <c r="L116" s="202"/>
      <c r="M116" s="202"/>
    </row>
    <row r="117" spans="12:13" s="201" customFormat="1">
      <c r="L117" s="202"/>
      <c r="M117" s="202"/>
    </row>
    <row r="118" spans="12:13" s="201" customFormat="1">
      <c r="L118" s="202"/>
      <c r="M118" s="202"/>
    </row>
    <row r="119" spans="12:13" s="201" customFormat="1">
      <c r="L119" s="202"/>
      <c r="M119" s="202"/>
    </row>
    <row r="120" spans="12:13" s="204" customFormat="1">
      <c r="L120" s="203"/>
      <c r="M120" s="203"/>
    </row>
    <row r="121" spans="12:13" s="204" customFormat="1">
      <c r="L121" s="203"/>
      <c r="M121" s="203"/>
    </row>
    <row r="122" spans="12:13" s="204" customFormat="1">
      <c r="L122" s="203"/>
      <c r="M122" s="203"/>
    </row>
    <row r="123" spans="12:13" s="204" customFormat="1">
      <c r="L123" s="203"/>
      <c r="M123" s="203"/>
    </row>
    <row r="124" spans="12:13" s="204" customFormat="1">
      <c r="L124" s="203"/>
      <c r="M124" s="203"/>
    </row>
    <row r="125" spans="12:13" s="204" customFormat="1">
      <c r="L125" s="203"/>
      <c r="M125" s="203"/>
    </row>
    <row r="126" spans="12:13" s="204" customFormat="1">
      <c r="L126" s="203"/>
      <c r="M126" s="203"/>
    </row>
    <row r="127" spans="12:13" s="204" customFormat="1">
      <c r="L127" s="203"/>
      <c r="M127" s="203"/>
    </row>
    <row r="128" spans="12:13" s="204" customFormat="1">
      <c r="L128" s="203"/>
      <c r="M128" s="203"/>
    </row>
    <row r="129" spans="12:13" s="204" customFormat="1">
      <c r="L129" s="203"/>
      <c r="M129" s="203"/>
    </row>
    <row r="130" spans="12:13" s="204" customFormat="1">
      <c r="L130" s="203"/>
      <c r="M130" s="203"/>
    </row>
    <row r="131" spans="12:13" s="204" customFormat="1">
      <c r="L131" s="203"/>
      <c r="M131" s="203"/>
    </row>
    <row r="132" spans="12:13" s="204" customFormat="1">
      <c r="L132" s="203"/>
      <c r="M132" s="203"/>
    </row>
    <row r="133" spans="12:13" s="204" customFormat="1">
      <c r="L133" s="203"/>
      <c r="M133" s="203"/>
    </row>
    <row r="134" spans="12:13" s="204" customFormat="1">
      <c r="L134" s="203"/>
      <c r="M134" s="203"/>
    </row>
    <row r="135" spans="12:13" s="204" customFormat="1">
      <c r="L135" s="203"/>
      <c r="M135" s="203"/>
    </row>
    <row r="136" spans="12:13" s="204" customFormat="1">
      <c r="L136" s="203"/>
      <c r="M136" s="203"/>
    </row>
    <row r="137" spans="12:13" s="204" customFormat="1">
      <c r="L137" s="203"/>
      <c r="M137" s="203"/>
    </row>
    <row r="138" spans="12:13" s="204" customFormat="1">
      <c r="L138" s="203"/>
      <c r="M138" s="203"/>
    </row>
    <row r="139" spans="12:13" s="204" customFormat="1">
      <c r="L139" s="203"/>
      <c r="M139" s="203"/>
    </row>
    <row r="140" spans="12:13" s="204" customFormat="1">
      <c r="L140" s="203"/>
      <c r="M140" s="203"/>
    </row>
    <row r="141" spans="12:13" s="204" customFormat="1">
      <c r="L141" s="203"/>
      <c r="M141" s="203"/>
    </row>
    <row r="142" spans="12:13" s="204" customFormat="1">
      <c r="L142" s="203"/>
      <c r="M142" s="203"/>
    </row>
    <row r="143" spans="12:13" s="204" customFormat="1">
      <c r="L143" s="203"/>
      <c r="M143" s="203"/>
    </row>
    <row r="144" spans="12:13" s="204" customFormat="1">
      <c r="L144" s="203"/>
      <c r="M144" s="203"/>
    </row>
    <row r="145" spans="12:13" s="204" customFormat="1">
      <c r="L145" s="203"/>
      <c r="M145" s="203"/>
    </row>
    <row r="146" spans="12:13" s="204" customFormat="1">
      <c r="L146" s="203"/>
      <c r="M146" s="203"/>
    </row>
    <row r="147" spans="12:13" s="204" customFormat="1">
      <c r="L147" s="203"/>
      <c r="M147" s="203"/>
    </row>
    <row r="148" spans="12:13" s="204" customFormat="1">
      <c r="L148" s="203"/>
      <c r="M148" s="203"/>
    </row>
    <row r="149" spans="12:13" s="204" customFormat="1">
      <c r="L149" s="203"/>
      <c r="M149" s="203"/>
    </row>
    <row r="150" spans="12:13" s="204" customFormat="1">
      <c r="L150" s="203"/>
      <c r="M150" s="203"/>
    </row>
  </sheetData>
  <sheetProtection sheet="1" objects="1" scenarios="1"/>
  <mergeCells count="17">
    <mergeCell ref="B2:M2"/>
    <mergeCell ref="D76:E76"/>
    <mergeCell ref="M32:M34"/>
    <mergeCell ref="M38:M39"/>
    <mergeCell ref="D78:G78"/>
    <mergeCell ref="B5:C5"/>
    <mergeCell ref="B48:C48"/>
    <mergeCell ref="D59:K59"/>
    <mergeCell ref="D72:E72"/>
    <mergeCell ref="D66:G66"/>
    <mergeCell ref="D67:E67"/>
    <mergeCell ref="D68:E68"/>
    <mergeCell ref="D69:E69"/>
    <mergeCell ref="D71:G71"/>
    <mergeCell ref="D73:E73"/>
    <mergeCell ref="D74:E74"/>
    <mergeCell ref="D75:E75"/>
  </mergeCells>
  <conditionalFormatting sqref="M7">
    <cfRule type="containsBlanks" dxfId="358" priority="8">
      <formula>LEN(TRIM(M7))=0</formula>
    </cfRule>
  </conditionalFormatting>
  <conditionalFormatting sqref="M8:M9">
    <cfRule type="containsBlanks" dxfId="357" priority="7">
      <formula>LEN(TRIM(M8))=0</formula>
    </cfRule>
  </conditionalFormatting>
  <conditionalFormatting sqref="M12">
    <cfRule type="containsBlanks" dxfId="356" priority="6">
      <formula>LEN(TRIM(M12))=0</formula>
    </cfRule>
  </conditionalFormatting>
  <conditionalFormatting sqref="M32:M34">
    <cfRule type="containsBlanks" dxfId="355" priority="5">
      <formula>LEN(TRIM(M32))=0</formula>
    </cfRule>
  </conditionalFormatting>
  <conditionalFormatting sqref="M43">
    <cfRule type="containsBlanks" dxfId="354" priority="4">
      <formula>LEN(TRIM(M43))=0</formula>
    </cfRule>
  </conditionalFormatting>
  <conditionalFormatting sqref="M11">
    <cfRule type="containsBlanks" dxfId="353" priority="3">
      <formula>LEN(TRIM(M11))=0</formula>
    </cfRule>
  </conditionalFormatting>
  <conditionalFormatting sqref="M14">
    <cfRule type="containsBlanks" dxfId="352" priority="1">
      <formula>LEN(TRIM(M14))=0</formula>
    </cfRule>
  </conditionalFormatting>
  <dataValidations count="2">
    <dataValidation allowBlank="1" showInputMessage="1" showErrorMessage="1" promptTitle="ESXi License Key" prompt="When entering the ESXi license key, a vCloud Suite license key can also be supplied" sqref="M7" xr:uid="{F3D28706-E945-2442-9766-9C25E92FE674}"/>
    <dataValidation type="textLength" allowBlank="1" showInputMessage="1" showErrorMessage="1" sqref="M11 M14" xr:uid="{E2573E44-27AF-4421-BC10-CCAB82D2E972}">
      <formula1>29</formula1>
      <formula2>29</formula2>
    </dataValidation>
  </dataValidations>
  <pageMargins left="0.7" right="0.7" top="0.75" bottom="0.75" header="0.3" footer="0.3"/>
  <pageSetup paperSize="9" orientation="portrait" horizontalDpi="75" verticalDpi="7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I51"/>
  <sheetViews>
    <sheetView showGridLines="0" zoomScaleNormal="100" zoomScalePageLayoutView="117" workbookViewId="0">
      <pane ySplit="3" topLeftCell="A4" activePane="bottomLeft" state="frozen"/>
      <selection pane="bottomLeft" activeCell="B52" sqref="B52"/>
    </sheetView>
  </sheetViews>
  <sheetFormatPr baseColWidth="10" defaultColWidth="8.83203125" defaultRowHeight="13"/>
  <cols>
    <col min="1" max="1" width="1.5" style="216" customWidth="1"/>
    <col min="2" max="2" width="26.6640625" style="216" customWidth="1"/>
    <col min="3" max="3" width="16.83203125" style="216" customWidth="1"/>
    <col min="4" max="4" width="87.83203125" style="214" customWidth="1"/>
    <col min="5" max="5" width="13.83203125" style="215" customWidth="1"/>
    <col min="6" max="6" width="45.83203125" style="216" customWidth="1"/>
    <col min="7" max="7" width="35.33203125" style="214" customWidth="1"/>
    <col min="8" max="16384" width="8.83203125" style="216"/>
  </cols>
  <sheetData>
    <row r="1" spans="2:9" ht="48" customHeight="1">
      <c r="B1" s="213"/>
      <c r="C1" s="213"/>
      <c r="D1" s="214" t="s">
        <v>4</v>
      </c>
    </row>
    <row r="2" spans="2:9" ht="4" customHeight="1" thickBot="1"/>
    <row r="3" spans="2:9" ht="42" customHeight="1" thickBot="1">
      <c r="B3" s="356" t="s">
        <v>1148</v>
      </c>
      <c r="C3" s="363"/>
      <c r="D3" s="363"/>
      <c r="E3" s="363"/>
      <c r="F3" s="364"/>
      <c r="G3" s="217"/>
      <c r="H3" s="217"/>
      <c r="I3" s="217"/>
    </row>
    <row r="4" spans="2:9" ht="4" customHeight="1" thickBot="1">
      <c r="B4" s="213"/>
      <c r="C4" s="213"/>
      <c r="D4" s="216"/>
      <c r="E4" s="216"/>
      <c r="G4" s="216"/>
    </row>
    <row r="5" spans="2:9" ht="16" customHeight="1">
      <c r="B5" s="365" t="s">
        <v>22</v>
      </c>
      <c r="C5" s="366"/>
      <c r="D5" s="218"/>
      <c r="E5" s="219"/>
      <c r="G5" s="216"/>
    </row>
    <row r="6" spans="2:9" ht="16" customHeight="1">
      <c r="B6" s="367" t="s">
        <v>1135</v>
      </c>
      <c r="C6" s="368"/>
      <c r="D6" s="220" t="s">
        <v>8</v>
      </c>
      <c r="E6" s="221" t="s">
        <v>1130</v>
      </c>
      <c r="G6" s="216"/>
    </row>
    <row r="7" spans="2:9" ht="16" customHeight="1">
      <c r="B7" s="369" t="s">
        <v>665</v>
      </c>
      <c r="C7" s="370"/>
      <c r="D7" s="212" t="s">
        <v>1132</v>
      </c>
      <c r="E7" s="222" t="s">
        <v>1129</v>
      </c>
      <c r="G7" s="216"/>
    </row>
    <row r="8" spans="2:9" ht="16" customHeight="1">
      <c r="B8" s="369" t="s">
        <v>666</v>
      </c>
      <c r="C8" s="370"/>
      <c r="D8" s="212" t="s">
        <v>1131</v>
      </c>
      <c r="E8" s="222" t="s">
        <v>1129</v>
      </c>
      <c r="G8" s="216"/>
    </row>
    <row r="9" spans="2:9" ht="16" customHeight="1">
      <c r="B9" s="369" t="s">
        <v>664</v>
      </c>
      <c r="C9" s="370"/>
      <c r="D9" s="212" t="s">
        <v>1133</v>
      </c>
      <c r="E9" s="222" t="s">
        <v>1129</v>
      </c>
      <c r="G9" s="216"/>
    </row>
    <row r="10" spans="2:9" ht="16" customHeight="1" thickBot="1">
      <c r="B10" s="371" t="s">
        <v>740</v>
      </c>
      <c r="C10" s="372"/>
      <c r="D10" s="212" t="s">
        <v>1134</v>
      </c>
      <c r="E10" s="223" t="s">
        <v>1129</v>
      </c>
      <c r="G10" s="216"/>
    </row>
    <row r="11" spans="2:9" ht="4" customHeight="1" thickBot="1">
      <c r="B11" s="213"/>
      <c r="C11" s="213"/>
      <c r="D11" s="216"/>
      <c r="E11" s="216"/>
      <c r="G11" s="216"/>
    </row>
    <row r="12" spans="2:9" ht="16" customHeight="1">
      <c r="B12" s="224" t="s">
        <v>21</v>
      </c>
      <c r="C12" s="225"/>
      <c r="D12" s="218"/>
      <c r="E12" s="226"/>
      <c r="F12" s="227"/>
      <c r="G12" s="216"/>
    </row>
    <row r="13" spans="2:9" ht="16" customHeight="1">
      <c r="B13" s="228" t="s">
        <v>19</v>
      </c>
      <c r="C13" s="220" t="s">
        <v>178</v>
      </c>
      <c r="D13" s="220" t="s">
        <v>8</v>
      </c>
      <c r="E13" s="220" t="s">
        <v>526</v>
      </c>
      <c r="F13" s="221" t="s">
        <v>20</v>
      </c>
      <c r="G13" s="216"/>
    </row>
    <row r="14" spans="2:9" ht="16" customHeight="1">
      <c r="B14" s="373" t="s">
        <v>586</v>
      </c>
      <c r="C14" s="374"/>
      <c r="D14" s="374"/>
      <c r="E14" s="374"/>
      <c r="F14" s="375"/>
      <c r="G14" s="216"/>
    </row>
    <row r="15" spans="2:9" ht="28" customHeight="1">
      <c r="B15" s="229" t="s">
        <v>14</v>
      </c>
      <c r="C15" s="126" t="s">
        <v>15</v>
      </c>
      <c r="D15" s="212" t="s">
        <v>1172</v>
      </c>
      <c r="E15" s="230" t="s">
        <v>527</v>
      </c>
      <c r="F15" s="231" t="s">
        <v>10</v>
      </c>
      <c r="G15" s="216"/>
    </row>
    <row r="16" spans="2:9" ht="28" customHeight="1">
      <c r="B16" s="236" t="s">
        <v>1268</v>
      </c>
      <c r="C16" s="126" t="s">
        <v>15</v>
      </c>
      <c r="D16" s="212" t="s">
        <v>1169</v>
      </c>
      <c r="E16" s="230" t="s">
        <v>528</v>
      </c>
      <c r="F16" s="231" t="s">
        <v>126</v>
      </c>
      <c r="G16" s="216"/>
    </row>
    <row r="17" spans="2:7" ht="28" customHeight="1">
      <c r="B17" s="232" t="s">
        <v>144</v>
      </c>
      <c r="C17" s="126" t="s">
        <v>15</v>
      </c>
      <c r="D17" s="212" t="s">
        <v>1171</v>
      </c>
      <c r="E17" s="230" t="s">
        <v>527</v>
      </c>
      <c r="F17" s="231" t="s">
        <v>10</v>
      </c>
      <c r="G17" s="216"/>
    </row>
    <row r="18" spans="2:7" ht="28" customHeight="1">
      <c r="B18" s="232" t="s">
        <v>14</v>
      </c>
      <c r="C18" s="126" t="s">
        <v>15</v>
      </c>
      <c r="D18" s="212" t="s">
        <v>1170</v>
      </c>
      <c r="E18" s="230" t="s">
        <v>527</v>
      </c>
      <c r="F18" s="231" t="s">
        <v>10</v>
      </c>
      <c r="G18" s="216"/>
    </row>
    <row r="19" spans="2:7" ht="28" customHeight="1">
      <c r="B19" s="232" t="s">
        <v>145</v>
      </c>
      <c r="C19" s="126" t="s">
        <v>15</v>
      </c>
      <c r="D19" s="212" t="s">
        <v>1173</v>
      </c>
      <c r="E19" s="230" t="s">
        <v>527</v>
      </c>
      <c r="F19" s="231" t="s">
        <v>10</v>
      </c>
    </row>
    <row r="20" spans="2:7" ht="28" customHeight="1">
      <c r="B20" s="232" t="s">
        <v>145</v>
      </c>
      <c r="C20" s="126" t="s">
        <v>15</v>
      </c>
      <c r="D20" s="212" t="s">
        <v>1174</v>
      </c>
      <c r="E20" s="230" t="s">
        <v>527</v>
      </c>
      <c r="F20" s="231" t="s">
        <v>10</v>
      </c>
    </row>
    <row r="21" spans="2:7" ht="28" customHeight="1">
      <c r="B21" s="236" t="s">
        <v>1269</v>
      </c>
      <c r="C21" s="126" t="s">
        <v>15</v>
      </c>
      <c r="D21" s="212" t="s">
        <v>24</v>
      </c>
      <c r="E21" s="230" t="s">
        <v>528</v>
      </c>
      <c r="F21" s="231" t="str">
        <f>B8</f>
        <v>ug-vCenterAdmins</v>
      </c>
    </row>
    <row r="22" spans="2:7" ht="16" customHeight="1">
      <c r="B22" s="373" t="s">
        <v>587</v>
      </c>
      <c r="C22" s="374"/>
      <c r="D22" s="374"/>
      <c r="E22" s="374"/>
      <c r="F22" s="375"/>
    </row>
    <row r="23" spans="2:7" ht="30" customHeight="1">
      <c r="B23" s="232" t="s">
        <v>14</v>
      </c>
      <c r="C23" s="126" t="s">
        <v>993</v>
      </c>
      <c r="D23" s="212" t="s">
        <v>1175</v>
      </c>
      <c r="E23" s="230" t="s">
        <v>527</v>
      </c>
      <c r="F23" s="231" t="s">
        <v>10</v>
      </c>
    </row>
    <row r="24" spans="2:7" ht="30" customHeight="1">
      <c r="B24" s="232" t="s">
        <v>992</v>
      </c>
      <c r="C24" s="126" t="s">
        <v>993</v>
      </c>
      <c r="D24" s="212" t="s">
        <v>1176</v>
      </c>
      <c r="E24" s="230" t="s">
        <v>527</v>
      </c>
      <c r="F24" s="231" t="s">
        <v>10</v>
      </c>
    </row>
    <row r="25" spans="2:7" ht="30" customHeight="1">
      <c r="B25" s="236" t="s">
        <v>1009</v>
      </c>
      <c r="C25" s="126" t="s">
        <v>993</v>
      </c>
      <c r="D25" s="212" t="s">
        <v>1177</v>
      </c>
      <c r="E25" s="230" t="s">
        <v>528</v>
      </c>
      <c r="F25" s="231" t="s">
        <v>10</v>
      </c>
    </row>
    <row r="26" spans="2:7" ht="28" customHeight="1">
      <c r="B26" s="232" t="s">
        <v>145</v>
      </c>
      <c r="C26" s="126" t="s">
        <v>15</v>
      </c>
      <c r="D26" s="212" t="s">
        <v>1178</v>
      </c>
      <c r="E26" s="230" t="s">
        <v>527</v>
      </c>
      <c r="F26" s="231" t="s">
        <v>10</v>
      </c>
    </row>
    <row r="27" spans="2:7" ht="28" customHeight="1">
      <c r="B27" s="236" t="s">
        <v>548</v>
      </c>
      <c r="C27" s="126" t="s">
        <v>15</v>
      </c>
      <c r="D27" s="212" t="s">
        <v>1179</v>
      </c>
      <c r="E27" s="230" t="s">
        <v>528</v>
      </c>
      <c r="F27" s="231" t="s">
        <v>204</v>
      </c>
    </row>
    <row r="28" spans="2:7" ht="30" customHeight="1">
      <c r="B28" s="236" t="s">
        <v>551</v>
      </c>
      <c r="C28" s="126" t="s">
        <v>15</v>
      </c>
      <c r="D28" s="212" t="s">
        <v>1180</v>
      </c>
      <c r="E28" s="230" t="s">
        <v>528</v>
      </c>
      <c r="F28" s="231" t="s">
        <v>10</v>
      </c>
    </row>
    <row r="29" spans="2:7" ht="28" customHeight="1">
      <c r="B29" s="236" t="s">
        <v>547</v>
      </c>
      <c r="C29" s="126" t="s">
        <v>15</v>
      </c>
      <c r="D29" s="212" t="s">
        <v>1181</v>
      </c>
      <c r="E29" s="230" t="s">
        <v>528</v>
      </c>
      <c r="F29" s="231" t="s">
        <v>10</v>
      </c>
    </row>
    <row r="30" spans="2:7" ht="30" customHeight="1">
      <c r="B30" s="236" t="s">
        <v>555</v>
      </c>
      <c r="C30" s="126" t="s">
        <v>15</v>
      </c>
      <c r="D30" s="212" t="s">
        <v>1182</v>
      </c>
      <c r="E30" s="230" t="s">
        <v>528</v>
      </c>
      <c r="F30" s="231" t="s">
        <v>10</v>
      </c>
    </row>
    <row r="31" spans="2:7" ht="30" customHeight="1">
      <c r="B31" s="236" t="s">
        <v>556</v>
      </c>
      <c r="C31" s="126" t="s">
        <v>15</v>
      </c>
      <c r="D31" s="212" t="s">
        <v>1183</v>
      </c>
      <c r="E31" s="230" t="s">
        <v>528</v>
      </c>
      <c r="F31" s="231" t="s">
        <v>10</v>
      </c>
    </row>
    <row r="32" spans="2:7" ht="28" customHeight="1">
      <c r="B32" s="236" t="s">
        <v>572</v>
      </c>
      <c r="C32" s="126" t="s">
        <v>15</v>
      </c>
      <c r="D32" s="212" t="s">
        <v>573</v>
      </c>
      <c r="E32" s="230" t="s">
        <v>528</v>
      </c>
      <c r="F32" s="231" t="s">
        <v>10</v>
      </c>
    </row>
    <row r="33" spans="2:6" ht="30" customHeight="1">
      <c r="B33" s="236" t="s">
        <v>589</v>
      </c>
      <c r="C33" s="126" t="s">
        <v>15</v>
      </c>
      <c r="D33" s="212" t="s">
        <v>1184</v>
      </c>
      <c r="E33" s="230" t="s">
        <v>528</v>
      </c>
      <c r="F33" s="231" t="s">
        <v>10</v>
      </c>
    </row>
    <row r="34" spans="2:6" ht="28" customHeight="1">
      <c r="B34" s="232" t="s">
        <v>14</v>
      </c>
      <c r="C34" s="126" t="s">
        <v>15</v>
      </c>
      <c r="D34" s="212" t="s">
        <v>1185</v>
      </c>
      <c r="E34" s="230" t="s">
        <v>527</v>
      </c>
      <c r="F34" s="231" t="s">
        <v>10</v>
      </c>
    </row>
    <row r="35" spans="2:6" ht="28" customHeight="1">
      <c r="B35" s="232" t="s">
        <v>145</v>
      </c>
      <c r="C35" s="126" t="s">
        <v>15</v>
      </c>
      <c r="D35" s="212" t="s">
        <v>1186</v>
      </c>
      <c r="E35" s="230" t="s">
        <v>527</v>
      </c>
      <c r="F35" s="231" t="s">
        <v>10</v>
      </c>
    </row>
    <row r="36" spans="2:6" ht="28" customHeight="1">
      <c r="B36" s="236" t="s">
        <v>673</v>
      </c>
      <c r="C36" s="126" t="s">
        <v>15</v>
      </c>
      <c r="D36" s="212" t="s">
        <v>1187</v>
      </c>
      <c r="E36" s="230" t="s">
        <v>528</v>
      </c>
      <c r="F36" s="231" t="s">
        <v>10</v>
      </c>
    </row>
    <row r="37" spans="2:6" ht="28" customHeight="1">
      <c r="B37" s="236" t="s">
        <v>93</v>
      </c>
      <c r="C37" s="126" t="s">
        <v>15</v>
      </c>
      <c r="D37" s="212" t="s">
        <v>674</v>
      </c>
      <c r="E37" s="230" t="s">
        <v>528</v>
      </c>
      <c r="F37" s="231" t="s">
        <v>10</v>
      </c>
    </row>
    <row r="38" spans="2:6" ht="30" customHeight="1">
      <c r="B38" s="236" t="s">
        <v>1118</v>
      </c>
      <c r="C38" s="126" t="s">
        <v>15</v>
      </c>
      <c r="D38" s="212" t="s">
        <v>1188</v>
      </c>
      <c r="E38" s="230" t="s">
        <v>527</v>
      </c>
      <c r="F38" s="231" t="s">
        <v>10</v>
      </c>
    </row>
    <row r="39" spans="2:6" ht="16" customHeight="1">
      <c r="B39" s="373" t="s">
        <v>588</v>
      </c>
      <c r="C39" s="374"/>
      <c r="D39" s="374"/>
      <c r="E39" s="374"/>
      <c r="F39" s="375"/>
    </row>
    <row r="40" spans="2:6" ht="28" customHeight="1">
      <c r="B40" s="232" t="s">
        <v>144</v>
      </c>
      <c r="C40" s="126" t="s">
        <v>15</v>
      </c>
      <c r="D40" s="212" t="s">
        <v>309</v>
      </c>
      <c r="E40" s="230" t="s">
        <v>527</v>
      </c>
      <c r="F40" s="231" t="s">
        <v>10</v>
      </c>
    </row>
    <row r="41" spans="2:6" ht="28" customHeight="1">
      <c r="B41" s="236" t="s">
        <v>26</v>
      </c>
      <c r="C41" s="126" t="s">
        <v>15</v>
      </c>
      <c r="D41" s="212" t="s">
        <v>135</v>
      </c>
      <c r="E41" s="230" t="s">
        <v>528</v>
      </c>
      <c r="F41" s="231" t="str">
        <f>"Local Adminstrators of all IaaS Servers, "&amp;B8&amp;", "&amp;B9</f>
        <v>Local Adminstrators of all IaaS Servers, ug-vCenterAdmins, ug-vROAdmins</v>
      </c>
    </row>
    <row r="42" spans="2:6" ht="28" customHeight="1">
      <c r="B42" s="236" t="s">
        <v>25</v>
      </c>
      <c r="C42" s="126" t="s">
        <v>15</v>
      </c>
      <c r="D42" s="212" t="s">
        <v>193</v>
      </c>
      <c r="E42" s="230" t="s">
        <v>528</v>
      </c>
      <c r="F42" s="231" t="s">
        <v>203</v>
      </c>
    </row>
    <row r="43" spans="2:6" ht="28" customHeight="1">
      <c r="B43" s="236" t="s">
        <v>371</v>
      </c>
      <c r="C43" s="126" t="s">
        <v>15</v>
      </c>
      <c r="D43" s="212" t="s">
        <v>374</v>
      </c>
      <c r="E43" s="230" t="s">
        <v>527</v>
      </c>
      <c r="F43" s="231" t="s">
        <v>373</v>
      </c>
    </row>
    <row r="44" spans="2:6" ht="28" customHeight="1">
      <c r="B44" s="232" t="s">
        <v>14</v>
      </c>
      <c r="C44" s="126" t="s">
        <v>15</v>
      </c>
      <c r="D44" s="212" t="s">
        <v>446</v>
      </c>
      <c r="E44" s="230" t="s">
        <v>527</v>
      </c>
      <c r="F44" s="231" t="s">
        <v>10</v>
      </c>
    </row>
    <row r="45" spans="2:6" ht="28" customHeight="1">
      <c r="B45" s="236" t="s">
        <v>1270</v>
      </c>
      <c r="C45" s="126" t="s">
        <v>15</v>
      </c>
      <c r="D45" s="212" t="s">
        <v>177</v>
      </c>
      <c r="E45" s="230" t="s">
        <v>528</v>
      </c>
      <c r="F45" s="231" t="str">
        <f>B10&amp;", "&amp;B9</f>
        <v>ug-vra-admins-rainpole, ug-vROAdmins</v>
      </c>
    </row>
    <row r="46" spans="2:6" ht="16" customHeight="1">
      <c r="B46" s="373" t="s">
        <v>689</v>
      </c>
      <c r="C46" s="374"/>
      <c r="D46" s="374"/>
      <c r="E46" s="374"/>
      <c r="F46" s="375"/>
    </row>
    <row r="47" spans="2:6" ht="28" customHeight="1">
      <c r="B47" s="236" t="s">
        <v>371</v>
      </c>
      <c r="C47" s="126" t="s">
        <v>15</v>
      </c>
      <c r="D47" s="212" t="s">
        <v>755</v>
      </c>
      <c r="E47" s="230" t="s">
        <v>527</v>
      </c>
      <c r="F47" s="231" t="s">
        <v>558</v>
      </c>
    </row>
    <row r="48" spans="2:6" ht="28" customHeight="1">
      <c r="B48" s="236" t="s">
        <v>574</v>
      </c>
      <c r="C48" s="126" t="s">
        <v>15</v>
      </c>
      <c r="D48" s="212" t="s">
        <v>756</v>
      </c>
      <c r="E48" s="230" t="s">
        <v>528</v>
      </c>
      <c r="F48" s="231" t="s">
        <v>10</v>
      </c>
    </row>
    <row r="49" spans="2:6" ht="28" customHeight="1">
      <c r="B49" s="232" t="s">
        <v>14</v>
      </c>
      <c r="C49" s="126" t="s">
        <v>15</v>
      </c>
      <c r="D49" s="212" t="s">
        <v>367</v>
      </c>
      <c r="E49" s="230" t="s">
        <v>527</v>
      </c>
      <c r="F49" s="231" t="s">
        <v>10</v>
      </c>
    </row>
    <row r="50" spans="2:6" ht="28" customHeight="1" thickBot="1">
      <c r="B50" s="238" t="s">
        <v>523</v>
      </c>
      <c r="C50" s="237" t="s">
        <v>15</v>
      </c>
      <c r="D50" s="233" t="s">
        <v>757</v>
      </c>
      <c r="E50" s="234" t="s">
        <v>528</v>
      </c>
      <c r="F50" s="235" t="s">
        <v>10</v>
      </c>
    </row>
    <row r="51" spans="2:6" ht="28" customHeight="1"/>
  </sheetData>
  <sheetProtection sheet="1" objects="1" scenarios="1"/>
  <mergeCells count="11">
    <mergeCell ref="B10:C10"/>
    <mergeCell ref="B46:F46"/>
    <mergeCell ref="B14:F14"/>
    <mergeCell ref="B22:F22"/>
    <mergeCell ref="B39:F39"/>
    <mergeCell ref="B3:F3"/>
    <mergeCell ref="B5:C5"/>
    <mergeCell ref="B6:C6"/>
    <mergeCell ref="B8:C8"/>
    <mergeCell ref="B9:C9"/>
    <mergeCell ref="B7:C7"/>
  </mergeCells>
  <conditionalFormatting sqref="C17">
    <cfRule type="expression" dxfId="351" priority="62">
      <formula>LEN($C$17)&lt;8</formula>
    </cfRule>
  </conditionalFormatting>
  <conditionalFormatting sqref="C18">
    <cfRule type="expression" dxfId="350" priority="61">
      <formula>LEN($C$18)&lt;8</formula>
    </cfRule>
  </conditionalFormatting>
  <conditionalFormatting sqref="C16">
    <cfRule type="expression" dxfId="349" priority="60">
      <formula>LEN($C$16)&lt;8</formula>
    </cfRule>
  </conditionalFormatting>
  <conditionalFormatting sqref="C19">
    <cfRule type="expression" dxfId="348" priority="58">
      <formula>LEN($C$19)&lt;8</formula>
    </cfRule>
  </conditionalFormatting>
  <conditionalFormatting sqref="C20">
    <cfRule type="expression" dxfId="347" priority="57">
      <formula>LEN($C$20)&lt;8</formula>
    </cfRule>
  </conditionalFormatting>
  <conditionalFormatting sqref="C21">
    <cfRule type="expression" dxfId="346" priority="56">
      <formula>LEN($C$21)&lt;8</formula>
    </cfRule>
  </conditionalFormatting>
  <conditionalFormatting sqref="B16 B48:B50 B37 B32 B29">
    <cfRule type="containsBlanks" dxfId="345" priority="63">
      <formula>LEN(TRIM(B16))=0</formula>
    </cfRule>
  </conditionalFormatting>
  <conditionalFormatting sqref="B21">
    <cfRule type="containsBlanks" dxfId="344" priority="51">
      <formula>LEN(TRIM(B21))=0</formula>
    </cfRule>
  </conditionalFormatting>
  <conditionalFormatting sqref="C48:C49">
    <cfRule type="expression" dxfId="343" priority="53">
      <formula>LEN($C$48)&lt;8</formula>
    </cfRule>
  </conditionalFormatting>
  <conditionalFormatting sqref="C26">
    <cfRule type="expression" dxfId="342" priority="48">
      <formula>LEN($C$26)&lt;8</formula>
    </cfRule>
  </conditionalFormatting>
  <conditionalFormatting sqref="C35">
    <cfRule type="expression" dxfId="341" priority="47">
      <formula>LEN($C$35)&lt;8</formula>
    </cfRule>
  </conditionalFormatting>
  <conditionalFormatting sqref="C36">
    <cfRule type="expression" dxfId="340" priority="46">
      <formula>LEN($C$36)&lt;8</formula>
    </cfRule>
  </conditionalFormatting>
  <conditionalFormatting sqref="B27">
    <cfRule type="containsBlanks" dxfId="339" priority="40">
      <formula>LEN(TRIM(B27))=0</formula>
    </cfRule>
  </conditionalFormatting>
  <conditionalFormatting sqref="C27">
    <cfRule type="expression" dxfId="338" priority="43">
      <formula>LEN($C$27)&lt;8</formula>
    </cfRule>
  </conditionalFormatting>
  <conditionalFormatting sqref="C32">
    <cfRule type="expression" dxfId="337" priority="42">
      <formula>LEN($C$32)&lt;8</formula>
    </cfRule>
  </conditionalFormatting>
  <conditionalFormatting sqref="C40">
    <cfRule type="expression" dxfId="336" priority="36">
      <formula>LEN(C40)&lt;8</formula>
    </cfRule>
  </conditionalFormatting>
  <conditionalFormatting sqref="C41">
    <cfRule type="expression" dxfId="335" priority="35">
      <formula>LEN(C41)&lt;8</formula>
    </cfRule>
  </conditionalFormatting>
  <conditionalFormatting sqref="C42:C43">
    <cfRule type="expression" dxfId="334" priority="34">
      <formula>LEN($C$44)&lt;8</formula>
    </cfRule>
  </conditionalFormatting>
  <conditionalFormatting sqref="C44">
    <cfRule type="expression" dxfId="333" priority="33">
      <formula>LEN($C$44)&lt;8</formula>
    </cfRule>
  </conditionalFormatting>
  <conditionalFormatting sqref="C45">
    <cfRule type="expression" dxfId="332" priority="32">
      <formula>LEN($C$45)&lt;8</formula>
    </cfRule>
  </conditionalFormatting>
  <conditionalFormatting sqref="B41">
    <cfRule type="containsBlanks" dxfId="331" priority="31">
      <formula>LEN(TRIM(B41))=0</formula>
    </cfRule>
  </conditionalFormatting>
  <conditionalFormatting sqref="B42">
    <cfRule type="containsBlanks" dxfId="330" priority="30">
      <formula>LEN(TRIM(B42))=0</formula>
    </cfRule>
  </conditionalFormatting>
  <conditionalFormatting sqref="B43">
    <cfRule type="containsBlanks" dxfId="329" priority="29">
      <formula>LEN(TRIM(B43))=0</formula>
    </cfRule>
  </conditionalFormatting>
  <conditionalFormatting sqref="B7">
    <cfRule type="containsBlanks" dxfId="328" priority="27">
      <formula>LEN(TRIM(B7))=0</formula>
    </cfRule>
  </conditionalFormatting>
  <conditionalFormatting sqref="B8">
    <cfRule type="containsBlanks" dxfId="327" priority="25">
      <formula>LEN(TRIM(B8))=0</formula>
    </cfRule>
  </conditionalFormatting>
  <conditionalFormatting sqref="B9">
    <cfRule type="containsBlanks" dxfId="326" priority="24">
      <formula>LEN(TRIM(B9))=0</formula>
    </cfRule>
  </conditionalFormatting>
  <conditionalFormatting sqref="B10">
    <cfRule type="containsBlanks" dxfId="325" priority="23">
      <formula>LEN(TRIM(B10))=0</formula>
    </cfRule>
  </conditionalFormatting>
  <conditionalFormatting sqref="C50">
    <cfRule type="expression" dxfId="324" priority="22">
      <formula>LEN($C$50)&lt;8</formula>
    </cfRule>
  </conditionalFormatting>
  <conditionalFormatting sqref="B45">
    <cfRule type="containsBlanks" dxfId="323" priority="21">
      <formula>LEN(TRIM(B45))=0</formula>
    </cfRule>
  </conditionalFormatting>
  <conditionalFormatting sqref="B28:B29">
    <cfRule type="containsBlanks" dxfId="322" priority="20">
      <formula>LEN(TRIM(B28))=0</formula>
    </cfRule>
  </conditionalFormatting>
  <conditionalFormatting sqref="C28:C29">
    <cfRule type="expression" dxfId="321" priority="19">
      <formula>LEN($C$27)&lt;8</formula>
    </cfRule>
  </conditionalFormatting>
  <conditionalFormatting sqref="B31">
    <cfRule type="containsBlanks" dxfId="320" priority="17">
      <formula>LEN(TRIM(B31))=0</formula>
    </cfRule>
  </conditionalFormatting>
  <conditionalFormatting sqref="B30">
    <cfRule type="containsBlanks" dxfId="319" priority="18">
      <formula>LEN(TRIM(B30))=0</formula>
    </cfRule>
  </conditionalFormatting>
  <conditionalFormatting sqref="C31">
    <cfRule type="expression" dxfId="318" priority="16">
      <formula>LEN($C$31)&lt;8</formula>
    </cfRule>
  </conditionalFormatting>
  <conditionalFormatting sqref="B33:B34">
    <cfRule type="containsBlanks" dxfId="317" priority="15">
      <formula>LEN(TRIM(B33))=0</formula>
    </cfRule>
  </conditionalFormatting>
  <conditionalFormatting sqref="C33:C34">
    <cfRule type="expression" dxfId="316" priority="14">
      <formula>LEN($C$33)&lt;8</formula>
    </cfRule>
  </conditionalFormatting>
  <conditionalFormatting sqref="B36">
    <cfRule type="containsBlanks" dxfId="315" priority="13">
      <formula>LEN(TRIM(B36))=0</formula>
    </cfRule>
  </conditionalFormatting>
  <conditionalFormatting sqref="C29">
    <cfRule type="expression" dxfId="314" priority="12">
      <formula>LEN($C$29)&lt;8</formula>
    </cfRule>
  </conditionalFormatting>
  <conditionalFormatting sqref="B47">
    <cfRule type="containsBlanks" dxfId="313" priority="11">
      <formula>LEN(TRIM(B47))=0</formula>
    </cfRule>
  </conditionalFormatting>
  <conditionalFormatting sqref="C24">
    <cfRule type="expression" dxfId="312" priority="10">
      <formula>LEN($C$24)&lt;8</formula>
    </cfRule>
  </conditionalFormatting>
  <conditionalFormatting sqref="C23">
    <cfRule type="expression" dxfId="311" priority="9">
      <formula>LEN($C$23)&lt;8</formula>
    </cfRule>
  </conditionalFormatting>
  <conditionalFormatting sqref="C25">
    <cfRule type="expression" dxfId="310" priority="8">
      <formula>LEN($C$25)&lt;8</formula>
    </cfRule>
  </conditionalFormatting>
  <conditionalFormatting sqref="B25">
    <cfRule type="containsBlanks" dxfId="309" priority="7">
      <formula>LEN(TRIM(B25))=0</formula>
    </cfRule>
  </conditionalFormatting>
  <conditionalFormatting sqref="C38">
    <cfRule type="expression" dxfId="308" priority="5">
      <formula>LEN($C$38)&lt;8</formula>
    </cfRule>
  </conditionalFormatting>
  <conditionalFormatting sqref="B38">
    <cfRule type="containsBlanks" dxfId="307" priority="6">
      <formula>LEN(TRIM(B38))=0</formula>
    </cfRule>
  </conditionalFormatting>
  <conditionalFormatting sqref="C15">
    <cfRule type="expression" dxfId="306" priority="2">
      <formula>LEN($C$15)&lt;8</formula>
    </cfRule>
  </conditionalFormatting>
  <dataValidations count="2">
    <dataValidation allowBlank="1" showInputMessage="1" showErrorMessage="1" promptTitle="Domain Join Service Account" prompt="Required to join systems to Active Directory. Restrictive access should be assigned as follows:_x000a__x000a_1. Delegate ‘join domain access’_x000a_2. Add user to the Account Operators group_x000a_3. Set access rights as per https://support.microsoft.com/en-gb/kb/932455" sqref="B16" xr:uid="{B2090109-FCF4-7742-8A1F-BCCF63DC5F7E}"/>
    <dataValidation allowBlank="1" showInputMessage="1" showErrorMessage="1" prompt="This Active Directory account is not used during the automated deployment process, but used post-deployment to log into vRealize Automation as a user to validate access" sqref="B45" xr:uid="{91F921B6-5302-B443-94D8-072D66A544E0}"/>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T147"/>
  <sheetViews>
    <sheetView zoomScaleNormal="100" workbookViewId="0">
      <pane ySplit="4" topLeftCell="A5" activePane="bottomLeft" state="frozen"/>
      <selection activeCell="J160" sqref="J160:K160"/>
      <selection pane="bottomLeft" activeCell="K21" sqref="K21"/>
    </sheetView>
  </sheetViews>
  <sheetFormatPr baseColWidth="10" defaultColWidth="12.5" defaultRowHeight="15"/>
  <cols>
    <col min="1" max="1" width="1.6640625" style="59" customWidth="1"/>
    <col min="2" max="2" width="9.33203125" style="69" customWidth="1"/>
    <col min="3" max="3" width="32.6640625" style="69" customWidth="1"/>
    <col min="4" max="5" width="17.6640625" style="69" customWidth="1"/>
    <col min="6" max="6" width="7.5" style="69" customWidth="1"/>
    <col min="7" max="7" width="2.6640625" style="59" customWidth="1"/>
    <col min="8" max="11" width="28.83203125" style="69" customWidth="1"/>
    <col min="12" max="15" width="28.83203125" style="59" customWidth="1"/>
    <col min="16" max="46" width="12.5" style="59"/>
    <col min="47" max="16384" width="12.5" style="69"/>
  </cols>
  <sheetData>
    <row r="1" spans="1:46" s="59" customFormat="1" ht="48" customHeight="1"/>
    <row r="2" spans="1:46" s="60" customFormat="1" ht="4" customHeight="1" thickBot="1">
      <c r="C2" s="61"/>
      <c r="D2" s="62"/>
      <c r="E2" s="62"/>
    </row>
    <row r="3" spans="1:46" s="60" customFormat="1" ht="32.25" customHeight="1" thickBot="1">
      <c r="B3" s="376" t="s">
        <v>758</v>
      </c>
      <c r="C3" s="377"/>
      <c r="D3" s="377"/>
      <c r="E3" s="377"/>
      <c r="F3" s="377"/>
      <c r="G3" s="377"/>
      <c r="H3" s="377"/>
      <c r="I3" s="377"/>
      <c r="J3" s="377"/>
      <c r="K3" s="378"/>
    </row>
    <row r="4" spans="1:46" s="55" customFormat="1" ht="4" customHeight="1">
      <c r="A4" s="63"/>
      <c r="B4" s="63"/>
      <c r="C4" s="64"/>
      <c r="D4" s="64"/>
      <c r="E4" s="64"/>
      <c r="F4" s="63"/>
      <c r="G4" s="63"/>
      <c r="H4" s="63"/>
      <c r="I4" s="63"/>
      <c r="J4" s="63"/>
      <c r="K4" s="60"/>
      <c r="L4" s="60"/>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row>
    <row r="5" spans="1:46" s="63" customFormat="1" ht="3.75" customHeight="1" thickBot="1">
      <c r="C5" s="64"/>
      <c r="D5" s="64"/>
      <c r="E5" s="64"/>
      <c r="K5" s="60"/>
      <c r="L5" s="60"/>
    </row>
    <row r="6" spans="1:46" s="72" customFormat="1" ht="16" customHeight="1">
      <c r="A6" s="70"/>
      <c r="B6" s="379" t="s">
        <v>1081</v>
      </c>
      <c r="C6" s="380"/>
      <c r="D6" s="380"/>
      <c r="E6" s="380"/>
      <c r="F6" s="381"/>
      <c r="G6" s="123"/>
      <c r="H6" s="382" t="s">
        <v>1082</v>
      </c>
      <c r="I6" s="383"/>
      <c r="J6" s="383"/>
      <c r="K6" s="383"/>
      <c r="L6" s="383"/>
      <c r="M6" s="383"/>
      <c r="N6" s="383"/>
      <c r="O6" s="384"/>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row>
    <row r="7" spans="1:46" s="72" customFormat="1" ht="16" customHeight="1">
      <c r="A7" s="70"/>
      <c r="B7" s="73" t="s">
        <v>7</v>
      </c>
      <c r="C7" s="74" t="s">
        <v>176</v>
      </c>
      <c r="D7" s="74" t="s">
        <v>270</v>
      </c>
      <c r="E7" s="74" t="s">
        <v>9</v>
      </c>
      <c r="F7" s="75" t="s">
        <v>38</v>
      </c>
      <c r="G7" s="76"/>
      <c r="H7" s="269" t="s">
        <v>600</v>
      </c>
      <c r="I7" s="270" t="s">
        <v>601</v>
      </c>
      <c r="J7" s="270" t="s">
        <v>602</v>
      </c>
      <c r="K7" s="270" t="s">
        <v>603</v>
      </c>
      <c r="L7" s="270" t="s">
        <v>10</v>
      </c>
      <c r="M7" s="270" t="s">
        <v>10</v>
      </c>
      <c r="N7" s="270" t="s">
        <v>10</v>
      </c>
      <c r="O7" s="271" t="s">
        <v>10</v>
      </c>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row>
    <row r="8" spans="1:46" s="72" customFormat="1" ht="16" customHeight="1">
      <c r="A8" s="70"/>
      <c r="B8" s="246">
        <v>1711</v>
      </c>
      <c r="C8" s="247" t="str">
        <f>'Deploy Parameters'!J31&amp;"-management"</f>
        <v>lax01-m01-vds01-management</v>
      </c>
      <c r="D8" s="248" t="s">
        <v>1210</v>
      </c>
      <c r="E8" s="248" t="s">
        <v>1211</v>
      </c>
      <c r="F8" s="249">
        <v>9000</v>
      </c>
      <c r="G8" s="77"/>
      <c r="H8" s="272" t="s">
        <v>1240</v>
      </c>
      <c r="I8" s="273" t="s">
        <v>1244</v>
      </c>
      <c r="J8" s="273" t="s">
        <v>1247</v>
      </c>
      <c r="K8" s="273" t="s">
        <v>1252</v>
      </c>
      <c r="L8" s="273" t="s">
        <v>10</v>
      </c>
      <c r="M8" s="273" t="s">
        <v>10</v>
      </c>
      <c r="N8" s="273" t="s">
        <v>10</v>
      </c>
      <c r="O8" s="274" t="s">
        <v>10</v>
      </c>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row>
    <row r="9" spans="1:46" s="72" customFormat="1" ht="16" customHeight="1">
      <c r="A9" s="70"/>
      <c r="B9" s="250">
        <v>1715</v>
      </c>
      <c r="C9" s="251" t="str">
        <f>'Deploy Parameters'!J31&amp;"-nfs"</f>
        <v>lax01-m01-vds01-nfs</v>
      </c>
      <c r="D9" s="252" t="s">
        <v>1221</v>
      </c>
      <c r="E9" s="252" t="s">
        <v>1216</v>
      </c>
      <c r="F9" s="253">
        <v>9000</v>
      </c>
      <c r="G9" s="77"/>
      <c r="H9" s="275" t="s">
        <v>1330</v>
      </c>
      <c r="I9" s="276" t="s">
        <v>1331</v>
      </c>
      <c r="J9" s="276" t="s">
        <v>1332</v>
      </c>
      <c r="K9" s="276" t="s">
        <v>1333</v>
      </c>
      <c r="L9" s="276" t="s">
        <v>10</v>
      </c>
      <c r="M9" s="276" t="s">
        <v>10</v>
      </c>
      <c r="N9" s="276" t="s">
        <v>10</v>
      </c>
      <c r="O9" s="277" t="s">
        <v>10</v>
      </c>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row>
    <row r="10" spans="1:46" s="72" customFormat="1" ht="16" customHeight="1">
      <c r="A10" s="70"/>
      <c r="B10" s="250">
        <v>1712</v>
      </c>
      <c r="C10" s="251" t="str">
        <f>'Deploy Parameters'!J31&amp;"-vmotion"</f>
        <v>lax01-m01-vds01-vmotion</v>
      </c>
      <c r="D10" s="252" t="s">
        <v>1212</v>
      </c>
      <c r="E10" s="252" t="s">
        <v>1214</v>
      </c>
      <c r="F10" s="253">
        <v>9000</v>
      </c>
      <c r="G10" s="77"/>
      <c r="H10" s="275" t="s">
        <v>1241</v>
      </c>
      <c r="I10" s="276" t="s">
        <v>1245</v>
      </c>
      <c r="J10" s="276" t="s">
        <v>1249</v>
      </c>
      <c r="K10" s="276" t="s">
        <v>1253</v>
      </c>
      <c r="L10" s="276" t="s">
        <v>10</v>
      </c>
      <c r="M10" s="276" t="s">
        <v>10</v>
      </c>
      <c r="N10" s="276" t="s">
        <v>10</v>
      </c>
      <c r="O10" s="277" t="s">
        <v>10</v>
      </c>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row>
    <row r="11" spans="1:46" s="72" customFormat="1" ht="16" customHeight="1">
      <c r="A11" s="70"/>
      <c r="B11" s="250">
        <v>1713</v>
      </c>
      <c r="C11" s="251" t="str">
        <f>'Deploy Parameters'!J31&amp;"-vsan"</f>
        <v>lax01-m01-vds01-vsan</v>
      </c>
      <c r="D11" s="252" t="s">
        <v>1213</v>
      </c>
      <c r="E11" s="254" t="s">
        <v>1215</v>
      </c>
      <c r="F11" s="253">
        <v>9000</v>
      </c>
      <c r="G11" s="77"/>
      <c r="H11" s="275" t="s">
        <v>1242</v>
      </c>
      <c r="I11" s="276" t="s">
        <v>1246</v>
      </c>
      <c r="J11" s="276" t="s">
        <v>1250</v>
      </c>
      <c r="K11" s="276" t="s">
        <v>1254</v>
      </c>
      <c r="L11" s="276" t="s">
        <v>10</v>
      </c>
      <c r="M11" s="276" t="s">
        <v>10</v>
      </c>
      <c r="N11" s="276" t="s">
        <v>10</v>
      </c>
      <c r="O11" s="277" t="s">
        <v>10</v>
      </c>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row>
    <row r="12" spans="1:46" s="72" customFormat="1" ht="16" customHeight="1" thickBot="1">
      <c r="A12" s="70"/>
      <c r="B12" s="250">
        <v>1716</v>
      </c>
      <c r="C12" s="251" t="str">
        <f>'Deploy Parameters'!J31&amp;"-replication"</f>
        <v>lax01-m01-vds01-replication</v>
      </c>
      <c r="D12" s="252" t="s">
        <v>1219</v>
      </c>
      <c r="E12" s="254" t="s">
        <v>1220</v>
      </c>
      <c r="F12" s="253">
        <v>9000</v>
      </c>
      <c r="G12" s="77"/>
      <c r="H12" s="278" t="s">
        <v>1243</v>
      </c>
      <c r="I12" s="279" t="s">
        <v>1248</v>
      </c>
      <c r="J12" s="279" t="s">
        <v>1251</v>
      </c>
      <c r="K12" s="279" t="s">
        <v>1255</v>
      </c>
      <c r="L12" s="279" t="s">
        <v>10</v>
      </c>
      <c r="M12" s="279" t="s">
        <v>10</v>
      </c>
      <c r="N12" s="279" t="s">
        <v>10</v>
      </c>
      <c r="O12" s="280" t="s">
        <v>10</v>
      </c>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row>
    <row r="13" spans="1:46" s="72" customFormat="1" ht="16" customHeight="1">
      <c r="A13" s="70"/>
      <c r="B13" s="255">
        <v>1714</v>
      </c>
      <c r="C13" s="256" t="s">
        <v>503</v>
      </c>
      <c r="D13" s="257" t="s">
        <v>1217</v>
      </c>
      <c r="E13" s="257" t="s">
        <v>1218</v>
      </c>
      <c r="F13" s="258">
        <v>9000</v>
      </c>
      <c r="G13" s="77"/>
      <c r="H13" s="78"/>
      <c r="I13" s="78"/>
      <c r="J13" s="78"/>
      <c r="K13" s="78"/>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row>
    <row r="14" spans="1:46" s="72" customFormat="1" ht="16" customHeight="1">
      <c r="A14" s="70"/>
      <c r="B14" s="259">
        <v>2714</v>
      </c>
      <c r="C14" s="260" t="str">
        <f>'Deploy Parameters'!J31&amp;"-uplink01"</f>
        <v>lax01-m01-vds01-uplink01</v>
      </c>
      <c r="D14" s="261" t="s">
        <v>1222</v>
      </c>
      <c r="E14" s="261" t="s">
        <v>1224</v>
      </c>
      <c r="F14" s="262">
        <f>'Deploy Parameters'!F69</f>
        <v>9000</v>
      </c>
      <c r="G14" s="77"/>
      <c r="H14" s="79"/>
      <c r="I14" s="79"/>
      <c r="J14" s="78"/>
      <c r="K14" s="78"/>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row>
    <row r="15" spans="1:46" s="72" customFormat="1" ht="16" customHeight="1">
      <c r="A15" s="70"/>
      <c r="B15" s="263">
        <v>2715</v>
      </c>
      <c r="C15" s="264" t="str">
        <f>'Deploy Parameters'!J31&amp;"-uplink02"</f>
        <v>lax01-m01-vds01-uplink02</v>
      </c>
      <c r="D15" s="265" t="s">
        <v>1223</v>
      </c>
      <c r="E15" s="265" t="s">
        <v>1225</v>
      </c>
      <c r="F15" s="266">
        <f>'Deploy Parameters'!F69</f>
        <v>9000</v>
      </c>
      <c r="G15" s="77"/>
      <c r="H15" s="79"/>
      <c r="I15" s="79"/>
      <c r="J15" s="78"/>
      <c r="K15" s="78"/>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row>
    <row r="16" spans="1:46" s="70" customFormat="1" ht="16" customHeight="1" thickBot="1">
      <c r="C16" s="80"/>
      <c r="E16" s="80"/>
      <c r="F16" s="80"/>
      <c r="G16" s="81"/>
      <c r="H16" s="82"/>
      <c r="I16" s="82"/>
      <c r="J16" s="82"/>
      <c r="K16" s="82"/>
    </row>
    <row r="17" spans="1:46" s="72" customFormat="1" ht="16" customHeight="1">
      <c r="A17" s="70"/>
      <c r="B17" s="379" t="s">
        <v>1083</v>
      </c>
      <c r="C17" s="380"/>
      <c r="D17" s="380"/>
      <c r="E17" s="380"/>
      <c r="F17" s="381"/>
      <c r="G17" s="123"/>
      <c r="H17" s="385" t="s">
        <v>1084</v>
      </c>
      <c r="I17" s="383"/>
      <c r="J17" s="383"/>
      <c r="K17" s="383"/>
      <c r="L17" s="383"/>
      <c r="M17" s="383"/>
      <c r="N17" s="383"/>
      <c r="O17" s="384"/>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row>
    <row r="18" spans="1:46" s="72" customFormat="1" ht="16" customHeight="1">
      <c r="A18" s="70"/>
      <c r="B18" s="73" t="s">
        <v>7</v>
      </c>
      <c r="C18" s="74" t="s">
        <v>176</v>
      </c>
      <c r="D18" s="74" t="s">
        <v>270</v>
      </c>
      <c r="E18" s="74" t="s">
        <v>9</v>
      </c>
      <c r="F18" s="75" t="s">
        <v>38</v>
      </c>
      <c r="G18" s="83"/>
      <c r="H18" s="269" t="s">
        <v>604</v>
      </c>
      <c r="I18" s="270" t="s">
        <v>605</v>
      </c>
      <c r="J18" s="270" t="s">
        <v>606</v>
      </c>
      <c r="K18" s="270" t="s">
        <v>607</v>
      </c>
      <c r="L18" s="270" t="s">
        <v>10</v>
      </c>
      <c r="M18" s="270" t="s">
        <v>10</v>
      </c>
      <c r="N18" s="270" t="s">
        <v>10</v>
      </c>
      <c r="O18" s="271" t="s">
        <v>10</v>
      </c>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row>
    <row r="19" spans="1:46" s="72" customFormat="1" ht="16" customHeight="1">
      <c r="A19" s="70"/>
      <c r="B19" s="246">
        <v>1731</v>
      </c>
      <c r="C19" s="247" t="str">
        <f>'Deploy Parameters'!J33&amp;"-management"</f>
        <v>lax01-w01-vds01-management</v>
      </c>
      <c r="D19" s="248" t="s">
        <v>1226</v>
      </c>
      <c r="E19" s="248" t="s">
        <v>1227</v>
      </c>
      <c r="F19" s="249">
        <v>9000</v>
      </c>
      <c r="G19" s="81"/>
      <c r="H19" s="272" t="s">
        <v>1256</v>
      </c>
      <c r="I19" s="273" t="s">
        <v>1259</v>
      </c>
      <c r="J19" s="273" t="s">
        <v>1262</v>
      </c>
      <c r="K19" s="273" t="s">
        <v>1265</v>
      </c>
      <c r="L19" s="273" t="s">
        <v>10</v>
      </c>
      <c r="M19" s="273" t="s">
        <v>10</v>
      </c>
      <c r="N19" s="273" t="s">
        <v>10</v>
      </c>
      <c r="O19" s="274" t="s">
        <v>10</v>
      </c>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row>
    <row r="20" spans="1:46" s="72" customFormat="1" ht="16" customHeight="1">
      <c r="A20" s="70"/>
      <c r="B20" s="250">
        <v>1725</v>
      </c>
      <c r="C20" s="251" t="str">
        <f>'Deploy Parameters'!J33&amp;"-nfs"</f>
        <v>lax01-w01-vds01-nfs</v>
      </c>
      <c r="D20" s="252" t="s">
        <v>1238</v>
      </c>
      <c r="E20" s="254" t="s">
        <v>1239</v>
      </c>
      <c r="F20" s="267">
        <v>9000</v>
      </c>
      <c r="G20" s="81"/>
      <c r="H20" s="275" t="s">
        <v>1334</v>
      </c>
      <c r="I20" s="276" t="s">
        <v>1335</v>
      </c>
      <c r="J20" s="276" t="s">
        <v>1336</v>
      </c>
      <c r="K20" s="276" t="s">
        <v>1337</v>
      </c>
      <c r="L20" s="276" t="s">
        <v>10</v>
      </c>
      <c r="M20" s="276" t="s">
        <v>10</v>
      </c>
      <c r="N20" s="276" t="s">
        <v>10</v>
      </c>
      <c r="O20" s="277" t="s">
        <v>10</v>
      </c>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row>
    <row r="21" spans="1:46" s="72" customFormat="1" ht="16" customHeight="1">
      <c r="A21" s="70"/>
      <c r="B21" s="250">
        <v>1732</v>
      </c>
      <c r="C21" s="251" t="str">
        <f>'Deploy Parameters'!J33&amp;"-vmotion"</f>
        <v>lax01-w01-vds01-vmotion</v>
      </c>
      <c r="D21" s="252" t="s">
        <v>1228</v>
      </c>
      <c r="E21" s="254" t="s">
        <v>1230</v>
      </c>
      <c r="F21" s="267">
        <f>F10</f>
        <v>9000</v>
      </c>
      <c r="G21" s="81"/>
      <c r="H21" s="275" t="s">
        <v>1257</v>
      </c>
      <c r="I21" s="276" t="s">
        <v>1260</v>
      </c>
      <c r="J21" s="276" t="s">
        <v>1263</v>
      </c>
      <c r="K21" s="276" t="s">
        <v>1266</v>
      </c>
      <c r="L21" s="276" t="s">
        <v>10</v>
      </c>
      <c r="M21" s="276" t="s">
        <v>10</v>
      </c>
      <c r="N21" s="276" t="s">
        <v>10</v>
      </c>
      <c r="O21" s="277" t="s">
        <v>10</v>
      </c>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row>
    <row r="22" spans="1:46" s="72" customFormat="1" ht="16" customHeight="1" thickBot="1">
      <c r="A22" s="70"/>
      <c r="B22" s="250">
        <v>1733</v>
      </c>
      <c r="C22" s="251" t="str">
        <f>'Deploy Parameters'!J33&amp;"-vsan"</f>
        <v>lax01-w01-vds01-vsan</v>
      </c>
      <c r="D22" s="252" t="s">
        <v>1229</v>
      </c>
      <c r="E22" s="254" t="s">
        <v>1231</v>
      </c>
      <c r="F22" s="267">
        <f>F11</f>
        <v>9000</v>
      </c>
      <c r="G22" s="81"/>
      <c r="H22" s="278" t="s">
        <v>1258</v>
      </c>
      <c r="I22" s="279" t="s">
        <v>1261</v>
      </c>
      <c r="J22" s="279" t="s">
        <v>1264</v>
      </c>
      <c r="K22" s="279" t="s">
        <v>1267</v>
      </c>
      <c r="L22" s="279" t="s">
        <v>10</v>
      </c>
      <c r="M22" s="279" t="s">
        <v>10</v>
      </c>
      <c r="N22" s="279" t="s">
        <v>10</v>
      </c>
      <c r="O22" s="280" t="s">
        <v>10</v>
      </c>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row>
    <row r="23" spans="1:46" s="72" customFormat="1" ht="16" customHeight="1">
      <c r="A23" s="70"/>
      <c r="B23" s="255">
        <v>1734</v>
      </c>
      <c r="C23" s="268" t="s">
        <v>503</v>
      </c>
      <c r="D23" s="257" t="s">
        <v>1232</v>
      </c>
      <c r="E23" s="257" t="s">
        <v>1234</v>
      </c>
      <c r="F23" s="258">
        <v>9000</v>
      </c>
      <c r="G23" s="81"/>
      <c r="H23" s="78"/>
      <c r="I23" s="78"/>
      <c r="J23" s="78"/>
      <c r="K23" s="78"/>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row>
    <row r="24" spans="1:46" s="70" customFormat="1" ht="16" customHeight="1">
      <c r="B24" s="259">
        <v>1735</v>
      </c>
      <c r="C24" s="260" t="str">
        <f>'Deploy Parameters'!J33&amp;"-uplink01"</f>
        <v>lax01-w01-vds01-uplink01</v>
      </c>
      <c r="D24" s="261" t="s">
        <v>1233</v>
      </c>
      <c r="E24" s="261" t="s">
        <v>1235</v>
      </c>
      <c r="F24" s="262">
        <f>'Deploy Parameters'!F69</f>
        <v>9000</v>
      </c>
      <c r="H24" s="78"/>
      <c r="I24" s="78"/>
      <c r="J24" s="78"/>
      <c r="K24" s="78"/>
    </row>
    <row r="25" spans="1:46" s="72" customFormat="1" ht="16" customHeight="1" thickBot="1">
      <c r="A25" s="70"/>
      <c r="B25" s="282">
        <v>2721</v>
      </c>
      <c r="C25" s="283" t="str">
        <f>'Deploy Parameters'!J33&amp;"-uplink02"</f>
        <v>lax01-w01-vds01-uplink02</v>
      </c>
      <c r="D25" s="284" t="s">
        <v>1237</v>
      </c>
      <c r="E25" s="284" t="s">
        <v>1236</v>
      </c>
      <c r="F25" s="285">
        <f>'Deploy Parameters'!F69</f>
        <v>9000</v>
      </c>
      <c r="G25" s="71"/>
      <c r="H25" s="78"/>
      <c r="I25" s="78"/>
      <c r="J25" s="78"/>
      <c r="K25" s="78"/>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row>
    <row r="26" spans="1:46" s="86" customFormat="1" ht="14">
      <c r="A26" s="84"/>
      <c r="B26" s="84"/>
      <c r="C26" s="84"/>
      <c r="D26" s="84"/>
      <c r="E26" s="84"/>
      <c r="F26" s="84"/>
      <c r="G26" s="85"/>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row>
    <row r="27" spans="1:46" s="66" customFormat="1" ht="14">
      <c r="A27" s="65"/>
      <c r="B27" s="65"/>
      <c r="C27" s="65"/>
      <c r="D27" s="65"/>
      <c r="E27" s="65"/>
      <c r="F27" s="65"/>
      <c r="G27" s="68"/>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row>
    <row r="28" spans="1:46" s="66" customFormat="1" ht="14">
      <c r="A28" s="65"/>
      <c r="B28" s="65"/>
      <c r="C28" s="65"/>
      <c r="D28" s="65"/>
      <c r="E28" s="65"/>
      <c r="F28" s="65"/>
      <c r="G28" s="68"/>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row>
    <row r="29" spans="1:46" s="66" customFormat="1" ht="14">
      <c r="A29" s="65"/>
      <c r="B29" s="65"/>
      <c r="C29" s="65"/>
      <c r="D29" s="65"/>
      <c r="E29" s="65"/>
      <c r="F29" s="65"/>
      <c r="G29" s="68"/>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row>
    <row r="30" spans="1:46" s="66" customFormat="1" ht="14">
      <c r="A30" s="65"/>
      <c r="B30" s="65"/>
      <c r="C30" s="65"/>
      <c r="D30" s="65"/>
      <c r="E30" s="65"/>
      <c r="F30" s="65"/>
      <c r="G30" s="68"/>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row>
    <row r="31" spans="1:46" s="66" customFormat="1" ht="14">
      <c r="A31" s="65"/>
      <c r="B31" s="65"/>
      <c r="C31" s="65"/>
      <c r="D31" s="65"/>
      <c r="E31" s="65"/>
      <c r="F31" s="65"/>
      <c r="G31" s="67"/>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row>
    <row r="32" spans="1:46" s="66" customFormat="1" ht="14">
      <c r="A32" s="65"/>
      <c r="B32" s="65"/>
      <c r="C32" s="65"/>
      <c r="D32" s="65"/>
      <c r="E32" s="65"/>
      <c r="F32" s="65"/>
      <c r="G32" s="67"/>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row>
    <row r="33" spans="1:46" s="66" customFormat="1" ht="14">
      <c r="A33" s="65"/>
      <c r="B33" s="65"/>
      <c r="C33" s="65"/>
      <c r="D33" s="65"/>
      <c r="E33" s="65"/>
      <c r="F33" s="65"/>
      <c r="G33" s="68"/>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row>
    <row r="34" spans="1:46" s="65" customFormat="1" ht="14"/>
    <row r="35" spans="1:46" s="65" customFormat="1" ht="14"/>
    <row r="36" spans="1:46" s="65" customFormat="1" ht="14"/>
    <row r="37" spans="1:46" s="65" customFormat="1" ht="14"/>
    <row r="38" spans="1:46" s="65" customFormat="1" ht="14"/>
    <row r="39" spans="1:46" s="65" customFormat="1" ht="14"/>
    <row r="40" spans="1:46" s="65" customFormat="1" ht="14"/>
    <row r="41" spans="1:46" s="65" customFormat="1">
      <c r="B41" s="59"/>
      <c r="C41" s="59"/>
      <c r="D41" s="59"/>
      <c r="E41" s="59"/>
      <c r="F41" s="59"/>
      <c r="H41" s="59"/>
      <c r="I41" s="59"/>
      <c r="J41" s="59"/>
      <c r="K41" s="59"/>
      <c r="L41" s="59"/>
      <c r="M41" s="59"/>
      <c r="N41" s="59"/>
      <c r="O41" s="59"/>
    </row>
    <row r="42" spans="1:46" s="65" customFormat="1">
      <c r="B42" s="59"/>
      <c r="C42" s="59"/>
      <c r="D42" s="59"/>
      <c r="E42" s="59"/>
      <c r="F42" s="59"/>
      <c r="H42" s="59"/>
      <c r="I42" s="59"/>
      <c r="J42" s="59"/>
      <c r="K42" s="59"/>
      <c r="L42" s="59"/>
      <c r="M42" s="59"/>
      <c r="N42" s="59"/>
      <c r="O42" s="59"/>
    </row>
    <row r="43" spans="1:46" s="65" customFormat="1">
      <c r="B43" s="59"/>
      <c r="C43" s="59"/>
      <c r="D43" s="59"/>
      <c r="E43" s="59"/>
      <c r="F43" s="59"/>
      <c r="H43" s="59"/>
      <c r="I43" s="59"/>
      <c r="J43" s="59"/>
      <c r="K43" s="59"/>
      <c r="L43" s="59"/>
      <c r="M43" s="59"/>
      <c r="N43" s="59"/>
      <c r="O43" s="59"/>
    </row>
    <row r="44" spans="1:46" s="65" customFormat="1">
      <c r="B44" s="59"/>
      <c r="C44" s="59"/>
      <c r="D44" s="59"/>
      <c r="E44" s="59"/>
      <c r="F44" s="59"/>
      <c r="H44" s="59"/>
      <c r="I44" s="59"/>
      <c r="J44" s="59"/>
      <c r="K44" s="59"/>
      <c r="L44" s="59"/>
      <c r="M44" s="59"/>
      <c r="N44" s="59"/>
      <c r="O44" s="59"/>
    </row>
    <row r="45" spans="1:46" s="65" customFormat="1">
      <c r="B45" s="59"/>
      <c r="C45" s="59"/>
      <c r="D45" s="59"/>
      <c r="E45" s="59"/>
      <c r="F45" s="59"/>
      <c r="H45" s="59"/>
      <c r="I45" s="59"/>
      <c r="J45" s="59"/>
      <c r="K45" s="59"/>
      <c r="L45" s="59"/>
      <c r="M45" s="59"/>
      <c r="N45" s="59"/>
      <c r="O45" s="59"/>
    </row>
    <row r="46" spans="1:46" s="65" customFormat="1">
      <c r="B46" s="59"/>
      <c r="C46" s="59"/>
      <c r="D46" s="59"/>
      <c r="E46" s="59"/>
      <c r="F46" s="59"/>
      <c r="H46" s="59"/>
      <c r="I46" s="59"/>
      <c r="J46" s="59"/>
      <c r="K46" s="59"/>
      <c r="L46" s="59"/>
      <c r="M46" s="59"/>
      <c r="N46" s="59"/>
      <c r="O46" s="59"/>
    </row>
    <row r="47" spans="1:46" s="65" customFormat="1">
      <c r="B47" s="59"/>
      <c r="C47" s="59"/>
      <c r="D47" s="59"/>
      <c r="E47" s="59"/>
      <c r="F47" s="59"/>
      <c r="H47" s="59"/>
      <c r="I47" s="59"/>
      <c r="J47" s="59"/>
      <c r="K47" s="59"/>
      <c r="L47" s="59"/>
      <c r="M47" s="59"/>
      <c r="N47" s="59"/>
      <c r="O47" s="59"/>
    </row>
    <row r="48" spans="1:46" s="65" customFormat="1">
      <c r="B48" s="59"/>
      <c r="C48" s="59"/>
      <c r="D48" s="59"/>
      <c r="E48" s="59"/>
      <c r="F48" s="59"/>
      <c r="H48" s="59"/>
      <c r="I48" s="59"/>
      <c r="J48" s="59"/>
      <c r="K48" s="59"/>
      <c r="L48" s="59"/>
      <c r="M48" s="59"/>
      <c r="N48" s="59"/>
      <c r="O48" s="59"/>
    </row>
    <row r="49" s="59" customFormat="1"/>
    <row r="50" s="59" customFormat="1"/>
    <row r="51" s="59" customFormat="1"/>
    <row r="52" s="59" customFormat="1"/>
    <row r="53" s="59" customFormat="1"/>
    <row r="54" s="59" customFormat="1"/>
    <row r="55" s="59" customFormat="1"/>
    <row r="56" s="59" customFormat="1"/>
    <row r="57" s="59" customFormat="1"/>
    <row r="58" s="59" customFormat="1"/>
    <row r="59" s="59" customFormat="1"/>
    <row r="60" s="59" customFormat="1"/>
    <row r="61" s="59" customFormat="1"/>
    <row r="62" s="59" customFormat="1"/>
    <row r="63" s="59" customFormat="1"/>
    <row r="64" s="59" customFormat="1"/>
    <row r="65" s="59" customFormat="1"/>
    <row r="66" s="59" customFormat="1"/>
    <row r="67" s="59" customFormat="1"/>
    <row r="68" s="59" customFormat="1"/>
    <row r="69" s="59" customFormat="1"/>
    <row r="70" s="59" customFormat="1"/>
    <row r="71" s="59" customFormat="1"/>
    <row r="72" s="59" customFormat="1"/>
    <row r="73" s="59" customFormat="1"/>
    <row r="74" s="59" customFormat="1"/>
    <row r="75" s="59" customFormat="1"/>
    <row r="76" s="59" customFormat="1"/>
    <row r="77" s="59" customFormat="1"/>
    <row r="78" s="59" customFormat="1"/>
    <row r="79" s="59" customFormat="1"/>
    <row r="80" s="59" customFormat="1"/>
    <row r="81" s="59" customFormat="1"/>
    <row r="82" s="59" customFormat="1"/>
    <row r="83" s="59" customFormat="1"/>
    <row r="84" s="59" customFormat="1"/>
    <row r="85" s="59" customFormat="1"/>
    <row r="86" s="59" customFormat="1"/>
    <row r="87" s="59" customFormat="1"/>
    <row r="88" s="59" customFormat="1"/>
    <row r="89" s="59" customFormat="1"/>
    <row r="90" s="59" customFormat="1"/>
    <row r="91" s="59" customFormat="1"/>
    <row r="92" s="59" customFormat="1"/>
    <row r="93" s="59" customFormat="1"/>
    <row r="94" s="59" customFormat="1"/>
    <row r="95" s="59" customFormat="1"/>
    <row r="96" s="59" customFormat="1"/>
    <row r="97" s="59" customFormat="1"/>
    <row r="98" s="59" customFormat="1"/>
    <row r="99" s="59" customFormat="1"/>
    <row r="100" s="59" customFormat="1"/>
    <row r="101" s="59" customFormat="1"/>
    <row r="102" s="59" customFormat="1"/>
    <row r="103" s="59" customFormat="1"/>
    <row r="104" s="59" customFormat="1"/>
    <row r="105" s="59" customFormat="1"/>
    <row r="106" s="59" customFormat="1"/>
    <row r="107" s="59" customFormat="1"/>
    <row r="108" s="59" customFormat="1"/>
    <row r="109" s="59" customFormat="1"/>
    <row r="110" s="59" customFormat="1"/>
    <row r="111" s="59" customFormat="1"/>
    <row r="112" s="59" customFormat="1"/>
    <row r="113" spans="2:11" s="59" customFormat="1"/>
    <row r="114" spans="2:11" s="59" customFormat="1"/>
    <row r="115" spans="2:11" s="59" customFormat="1"/>
    <row r="116" spans="2:11" s="59" customFormat="1"/>
    <row r="117" spans="2:11" s="59" customFormat="1"/>
    <row r="118" spans="2:11" s="59" customFormat="1"/>
    <row r="119" spans="2:11" s="59" customFormat="1"/>
    <row r="120" spans="2:11" s="59" customFormat="1"/>
    <row r="121" spans="2:11" s="59" customFormat="1"/>
    <row r="122" spans="2:11" s="59" customFormat="1">
      <c r="B122" s="69"/>
      <c r="C122" s="69"/>
      <c r="D122" s="69"/>
      <c r="E122" s="69"/>
      <c r="F122" s="69"/>
      <c r="H122" s="69"/>
      <c r="I122" s="69"/>
      <c r="J122" s="69"/>
      <c r="K122" s="69"/>
    </row>
    <row r="123" spans="2:11" s="59" customFormat="1">
      <c r="B123" s="69"/>
      <c r="C123" s="69"/>
      <c r="D123" s="69"/>
      <c r="E123" s="69"/>
      <c r="F123" s="69"/>
      <c r="H123" s="69"/>
      <c r="I123" s="69"/>
      <c r="J123" s="69"/>
      <c r="K123" s="69"/>
    </row>
    <row r="124" spans="2:11" s="59" customFormat="1">
      <c r="B124" s="69"/>
      <c r="C124" s="69"/>
      <c r="D124" s="69"/>
      <c r="E124" s="69"/>
      <c r="F124" s="69"/>
      <c r="H124" s="69"/>
      <c r="I124" s="69"/>
      <c r="J124" s="69"/>
      <c r="K124" s="69"/>
    </row>
    <row r="125" spans="2:11" s="59" customFormat="1">
      <c r="B125" s="69"/>
      <c r="C125" s="69"/>
      <c r="D125" s="69"/>
      <c r="E125" s="69"/>
      <c r="F125" s="69"/>
      <c r="H125" s="69"/>
      <c r="I125" s="69"/>
      <c r="J125" s="69"/>
      <c r="K125" s="69"/>
    </row>
    <row r="126" spans="2:11" s="59" customFormat="1">
      <c r="B126" s="69"/>
      <c r="C126" s="69"/>
      <c r="D126" s="69"/>
      <c r="E126" s="69"/>
      <c r="F126" s="69"/>
      <c r="H126" s="69"/>
      <c r="I126" s="69"/>
      <c r="J126" s="69"/>
      <c r="K126" s="69"/>
    </row>
    <row r="127" spans="2:11" s="59" customFormat="1">
      <c r="B127" s="69"/>
      <c r="C127" s="69"/>
      <c r="D127" s="69"/>
      <c r="E127" s="69"/>
      <c r="F127" s="69"/>
      <c r="H127" s="69"/>
      <c r="I127" s="69"/>
      <c r="J127" s="69"/>
      <c r="K127" s="69"/>
    </row>
    <row r="128" spans="2:11" s="59" customFormat="1">
      <c r="B128" s="69"/>
      <c r="C128" s="69"/>
      <c r="D128" s="69"/>
      <c r="E128" s="69"/>
      <c r="F128" s="69"/>
      <c r="H128" s="69"/>
      <c r="I128" s="69"/>
      <c r="J128" s="69"/>
      <c r="K128" s="69"/>
    </row>
    <row r="129" spans="2:11" s="59" customFormat="1">
      <c r="B129" s="69"/>
      <c r="C129" s="69"/>
      <c r="D129" s="69"/>
      <c r="E129" s="69"/>
      <c r="F129" s="69"/>
      <c r="H129" s="69"/>
      <c r="I129" s="69"/>
      <c r="J129" s="69"/>
      <c r="K129" s="69"/>
    </row>
    <row r="147" spans="11:11">
      <c r="K147" s="69" t="s">
        <v>489</v>
      </c>
    </row>
  </sheetData>
  <sheetProtection sheet="1" objects="1" scenarios="1"/>
  <mergeCells count="5">
    <mergeCell ref="B3:K3"/>
    <mergeCell ref="B6:F6"/>
    <mergeCell ref="B17:F17"/>
    <mergeCell ref="H6:O6"/>
    <mergeCell ref="H17:O17"/>
  </mergeCells>
  <conditionalFormatting sqref="H8">
    <cfRule type="expression" dxfId="305" priority="29">
      <formula>IF(H8&lt;&gt;"n/a",COUNTIF($H$8:$O$8,H8)&gt;1)</formula>
    </cfRule>
  </conditionalFormatting>
  <conditionalFormatting sqref="H9">
    <cfRule type="expression" dxfId="304" priority="28">
      <formula>IF(H9&lt;&gt;"n/a",COUNTIF($H$9:$O$9,H9)&gt;1)</formula>
    </cfRule>
  </conditionalFormatting>
  <conditionalFormatting sqref="H10">
    <cfRule type="expression" dxfId="303" priority="27">
      <formula>IF(H10&lt;&gt;"n/a",COUNTIF($H$10:$O$10,H10)&gt;1)</formula>
    </cfRule>
  </conditionalFormatting>
  <conditionalFormatting sqref="H11">
    <cfRule type="expression" dxfId="302" priority="26">
      <formula>IF(H11&lt;&gt;"n/a",COUNTIF($H$11:$O$11,H11)&gt;1)</formula>
    </cfRule>
  </conditionalFormatting>
  <conditionalFormatting sqref="H12">
    <cfRule type="expression" dxfId="301" priority="25">
      <formula>IF(H12&lt;&gt;"n/a",COUNTIF($H$12:$O$12,H12)&gt;1)</formula>
    </cfRule>
  </conditionalFormatting>
  <conditionalFormatting sqref="I7:O7">
    <cfRule type="expression" dxfId="300" priority="24">
      <formula>IF(I7&lt;&gt;"n/a",COUNTIF($H$7:$O$7,I7)&gt;1)</formula>
    </cfRule>
  </conditionalFormatting>
  <conditionalFormatting sqref="I8:O8">
    <cfRule type="expression" dxfId="299" priority="23">
      <formula>IF(I8&lt;&gt;"n/a",COUNTIF($H$8:$O$8,I8)&gt;1)</formula>
    </cfRule>
  </conditionalFormatting>
  <conditionalFormatting sqref="I9:O9">
    <cfRule type="expression" dxfId="298" priority="22">
      <formula>IF(I9&lt;&gt;"n/a",COUNTIF($H$9:$O$9,I9)&gt;1)</formula>
    </cfRule>
  </conditionalFormatting>
  <conditionalFormatting sqref="I10:O10">
    <cfRule type="expression" dxfId="297" priority="21">
      <formula>IF(I10&lt;&gt;"n/a",COUNTIF($H$10:$O$10,I10)&gt;1)</formula>
    </cfRule>
  </conditionalFormatting>
  <conditionalFormatting sqref="I11:O11">
    <cfRule type="expression" dxfId="296" priority="20">
      <formula>IF(I11&lt;&gt;"n/a",COUNTIF($H$11:$O$11,I11)&gt;1)</formula>
    </cfRule>
  </conditionalFormatting>
  <conditionalFormatting sqref="I12:O12">
    <cfRule type="expression" dxfId="295" priority="19">
      <formula>IF(I12&lt;&gt;"n/a",COUNTIF($H$12:$O$12,I12)&gt;1)</formula>
    </cfRule>
  </conditionalFormatting>
  <conditionalFormatting sqref="H18">
    <cfRule type="expression" dxfId="294" priority="18">
      <formula>IF(H18&lt;&gt;"n/a",COUNTIF($H$18:$O$18,H18)&gt;1)</formula>
    </cfRule>
  </conditionalFormatting>
  <conditionalFormatting sqref="H19">
    <cfRule type="expression" dxfId="293" priority="17">
      <formula>IF(H19&lt;&gt;"n/a",COUNTIF($H$19:$O$19,H19)&gt;1)</formula>
    </cfRule>
  </conditionalFormatting>
  <conditionalFormatting sqref="H20">
    <cfRule type="expression" dxfId="292" priority="16">
      <formula>IF(H20&lt;&gt;"n/a",COUNTIF($H$20:$O$20,H20)&gt;1)</formula>
    </cfRule>
  </conditionalFormatting>
  <conditionalFormatting sqref="H21">
    <cfRule type="expression" dxfId="291" priority="15">
      <formula>IF(H21&lt;&gt;"n/a",COUNTIF($H$21:$O$21,H21)&gt;1)</formula>
    </cfRule>
  </conditionalFormatting>
  <conditionalFormatting sqref="H22">
    <cfRule type="expression" dxfId="290" priority="14">
      <formula>IF(H22&lt;&gt;"n/a",COUNTIF($H$22:$O$22,H22)&gt;1)</formula>
    </cfRule>
  </conditionalFormatting>
  <conditionalFormatting sqref="I18:O18">
    <cfRule type="expression" dxfId="289" priority="13">
      <formula>IF(I18&lt;&gt;"n/a",COUNTIF($H$18:$O$18,I18)&gt;1)</formula>
    </cfRule>
  </conditionalFormatting>
  <conditionalFormatting sqref="I19:O19">
    <cfRule type="expression" dxfId="288" priority="12">
      <formula>IF(I19&lt;&gt;"n/a",COUNTIF($H$19:$O$19,I19)&gt;1)</formula>
    </cfRule>
  </conditionalFormatting>
  <conditionalFormatting sqref="I20:O20">
    <cfRule type="expression" dxfId="287" priority="11">
      <formula>IF(I20&lt;&gt;"n/a",COUNTIF($H$20:$O$20,I20)&gt;1)</formula>
    </cfRule>
  </conditionalFormatting>
  <conditionalFormatting sqref="I21:O21">
    <cfRule type="expression" dxfId="286" priority="10">
      <formula>IF(I21&lt;&gt;"n/a",COUNTIF($H$21:$O$21,I21)&gt;1)</formula>
    </cfRule>
  </conditionalFormatting>
  <conditionalFormatting sqref="I22:O22">
    <cfRule type="expression" dxfId="285" priority="9">
      <formula>IF(I22&lt;&gt;"n/a",COUNTIF($H$22:$O$22,I22)&gt;1)</formula>
    </cfRule>
  </conditionalFormatting>
  <conditionalFormatting sqref="B8:F15">
    <cfRule type="containsBlanks" dxfId="284" priority="8">
      <formula>LEN(TRIM(B8))=0</formula>
    </cfRule>
  </conditionalFormatting>
  <conditionalFormatting sqref="B8:F8 C9 B10:F11 C12 B13:F15">
    <cfRule type="containsText" dxfId="283" priority="7" operator="containsText" text="n/a">
      <formula>NOT(ISERROR(SEARCH("n/a",B8)))</formula>
    </cfRule>
  </conditionalFormatting>
  <conditionalFormatting sqref="H7:O12">
    <cfRule type="containsBlanks" dxfId="282" priority="6">
      <formula>LEN(TRIM(H7))=0</formula>
    </cfRule>
  </conditionalFormatting>
  <conditionalFormatting sqref="H7:J8 H10:J11">
    <cfRule type="containsText" dxfId="281" priority="5" operator="containsText" text="n/a">
      <formula>NOT(ISERROR(SEARCH("n/a",H7)))</formula>
    </cfRule>
  </conditionalFormatting>
  <conditionalFormatting sqref="B19:F25">
    <cfRule type="containsBlanks" dxfId="280" priority="30">
      <formula>LEN(TRIM(B19))=0</formula>
    </cfRule>
    <cfRule type="expression" dxfId="279" priority="30">
      <formula>IF(B19&lt;&gt;"n/a",COUNTIF($H$7:$O$7,B19)&gt;1)</formula>
    </cfRule>
  </conditionalFormatting>
  <conditionalFormatting sqref="B19:F19 C20 B21:F25">
    <cfRule type="containsText" dxfId="278" priority="3" operator="containsText" text="n/a">
      <formula>NOT(ISERROR(SEARCH("n/a",B19)))</formula>
    </cfRule>
  </conditionalFormatting>
  <conditionalFormatting sqref="H18:O22">
    <cfRule type="containsBlanks" dxfId="277" priority="2">
      <formula>LEN(TRIM(H18))=0</formula>
    </cfRule>
  </conditionalFormatting>
  <conditionalFormatting sqref="H18:J19 H21:J22">
    <cfRule type="containsText" dxfId="276" priority="1" operator="containsText" text="n/a">
      <formula>NOT(ISERROR(SEARCH("n/a",H18)))</formula>
    </cfRule>
  </conditionalFormatting>
  <dataValidations count="1">
    <dataValidation type="whole" allowBlank="1" showInputMessage="1" showErrorMessage="1" sqref="B19 B23:B25 B21 B8 B10 B13:B15" xr:uid="{00000000-0002-0000-0300-000000000000}">
      <formula1>0</formula1>
      <formula2>4500</formula2>
    </dataValidation>
  </dataValidations>
  <pageMargins left="0.75" right="0.75" top="1" bottom="1" header="0.5" footer="0.5"/>
  <pageSetup orientation="portrait" horizontalDpi="4294967292" verticalDpi="4294967292" r:id="rId1"/>
  <ignoredErrors>
    <ignoredError sqref="C8:C15 F14:F15 C19:C25 F21:F25"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L312"/>
  <sheetViews>
    <sheetView showGridLines="0" zoomScaleNormal="100" zoomScalePageLayoutView="117" workbookViewId="0">
      <pane ySplit="4" topLeftCell="A5" activePane="bottomLeft" state="frozen"/>
      <selection activeCell="J160" sqref="J160:K160"/>
      <selection pane="bottomLeft" activeCell="K74" sqref="K74"/>
    </sheetView>
  </sheetViews>
  <sheetFormatPr baseColWidth="10" defaultColWidth="9" defaultRowHeight="13"/>
  <cols>
    <col min="1" max="1" width="1.5" style="216" customWidth="1"/>
    <col min="2" max="2" width="3.33203125" style="216" customWidth="1"/>
    <col min="3" max="3" width="45.83203125" style="216" customWidth="1"/>
    <col min="4" max="4" width="1.6640625" style="216" customWidth="1"/>
    <col min="5" max="5" width="48.83203125" style="216" customWidth="1"/>
    <col min="6" max="6" width="16.83203125" style="216" customWidth="1"/>
    <col min="7" max="7" width="18.83203125" style="216" customWidth="1"/>
    <col min="8" max="8" width="1.6640625" style="216" customWidth="1"/>
    <col min="9" max="9" width="51.1640625" style="216" customWidth="1"/>
    <col min="10" max="10" width="16.83203125" style="216" customWidth="1"/>
    <col min="11" max="11" width="17.33203125" style="216" customWidth="1"/>
    <col min="12" max="16384" width="9" style="216"/>
  </cols>
  <sheetData>
    <row r="1" spans="2:11" ht="48" customHeight="1">
      <c r="B1" s="287"/>
      <c r="C1" s="213"/>
      <c r="E1" s="216" t="s">
        <v>4</v>
      </c>
    </row>
    <row r="2" spans="2:11" ht="4" customHeight="1" thickBot="1">
      <c r="B2" s="287"/>
      <c r="C2" s="213"/>
    </row>
    <row r="3" spans="2:11" ht="53" customHeight="1" thickBot="1">
      <c r="B3" s="356" t="s">
        <v>759</v>
      </c>
      <c r="C3" s="415"/>
      <c r="D3" s="415"/>
      <c r="E3" s="415"/>
      <c r="F3" s="415"/>
      <c r="G3" s="415"/>
      <c r="H3" s="416"/>
      <c r="I3" s="416"/>
      <c r="J3" s="416"/>
      <c r="K3" s="417"/>
    </row>
    <row r="4" spans="2:11" ht="4" customHeight="1">
      <c r="B4" s="213"/>
      <c r="C4" s="213"/>
    </row>
    <row r="5" spans="2:11" ht="20" customHeight="1">
      <c r="B5" s="288" t="s">
        <v>237</v>
      </c>
      <c r="C5" s="289"/>
      <c r="E5" s="290" t="s">
        <v>33</v>
      </c>
      <c r="F5" s="291" t="s">
        <v>17</v>
      </c>
      <c r="G5" s="291" t="s">
        <v>1</v>
      </c>
      <c r="H5" s="292"/>
      <c r="I5" s="293" t="s">
        <v>542</v>
      </c>
      <c r="J5" s="418" t="s">
        <v>32</v>
      </c>
      <c r="K5" s="419"/>
    </row>
    <row r="6" spans="2:11" ht="15" customHeight="1">
      <c r="B6" s="294" t="str">
        <f>IF((AND(F6&lt;&gt;"",G6&lt;&gt;"")),"✓","")</f>
        <v>✓</v>
      </c>
      <c r="C6" s="216" t="s">
        <v>82</v>
      </c>
      <c r="E6" s="295" t="s">
        <v>1023</v>
      </c>
      <c r="F6" s="244" t="s">
        <v>1025</v>
      </c>
      <c r="G6" s="244" t="s">
        <v>1271</v>
      </c>
      <c r="H6" s="292"/>
      <c r="I6" s="295" t="s">
        <v>543</v>
      </c>
      <c r="J6" s="405" t="s">
        <v>593</v>
      </c>
      <c r="K6" s="370"/>
    </row>
    <row r="7" spans="2:11" ht="15" customHeight="1">
      <c r="B7" s="294" t="str">
        <f>IF((AND(F8&lt;&gt;"",F9&lt;&gt;"")),"✓","")</f>
        <v>✓</v>
      </c>
      <c r="C7" s="216" t="s">
        <v>84</v>
      </c>
      <c r="E7" s="295" t="s">
        <v>1024</v>
      </c>
      <c r="F7" s="244" t="s">
        <v>608</v>
      </c>
      <c r="G7" s="244" t="s">
        <v>1272</v>
      </c>
      <c r="H7" s="213"/>
      <c r="I7" s="295" t="s">
        <v>544</v>
      </c>
      <c r="J7" s="405" t="s">
        <v>594</v>
      </c>
      <c r="K7" s="370"/>
    </row>
    <row r="8" spans="2:11" ht="15" customHeight="1">
      <c r="B8" s="294" t="str">
        <f>IF((AND(J10&lt;&gt;"",J11&lt;&gt;"",J12&lt;&gt;"",J13&lt;&gt;"",J14&lt;&gt;"",J15&lt;&gt;"",J16&lt;&gt;"",J20&lt;&gt;"")),"✓","")</f>
        <v>✓</v>
      </c>
      <c r="C8" s="216" t="s">
        <v>0</v>
      </c>
      <c r="E8" s="295" t="s">
        <v>545</v>
      </c>
      <c r="F8" s="393" t="s">
        <v>1272</v>
      </c>
      <c r="G8" s="424"/>
      <c r="H8" s="213"/>
    </row>
    <row r="9" spans="2:11" ht="15" customHeight="1">
      <c r="B9" s="294" t="str">
        <f>IF((AND(J7&lt;&gt;"")),"✓","")</f>
        <v>✓</v>
      </c>
      <c r="C9" s="216" t="s">
        <v>238</v>
      </c>
      <c r="E9" s="295" t="s">
        <v>546</v>
      </c>
      <c r="F9" s="393" t="s">
        <v>1271</v>
      </c>
      <c r="G9" s="424"/>
      <c r="H9" s="213"/>
      <c r="I9" s="290" t="s">
        <v>123</v>
      </c>
      <c r="J9" s="418" t="s">
        <v>32</v>
      </c>
      <c r="K9" s="419"/>
    </row>
    <row r="10" spans="2:11" ht="15" customHeight="1">
      <c r="B10" s="294" t="str">
        <f>IF((AND(F10&lt;&gt;"",F11&lt;&gt;"")),"✓","")</f>
        <v>✓</v>
      </c>
      <c r="C10" s="216" t="s">
        <v>85</v>
      </c>
      <c r="E10" s="295" t="s">
        <v>241</v>
      </c>
      <c r="F10" s="393" t="s">
        <v>1339</v>
      </c>
      <c r="G10" s="424"/>
      <c r="H10" s="213"/>
      <c r="I10" s="290" t="s">
        <v>575</v>
      </c>
      <c r="J10" s="386" t="str">
        <f>J6</f>
        <v>rainpole.local</v>
      </c>
      <c r="K10" s="387"/>
    </row>
    <row r="11" spans="2:11" ht="15" customHeight="1">
      <c r="B11" s="294" t="str">
        <f>IF((AND(F17&lt;&gt;"",F18&lt;&gt;"")),"✓","")</f>
        <v>✓</v>
      </c>
      <c r="C11" s="216" t="s">
        <v>30</v>
      </c>
      <c r="E11" s="295" t="s">
        <v>242</v>
      </c>
      <c r="F11" s="405" t="s">
        <v>1340</v>
      </c>
      <c r="G11" s="425"/>
      <c r="H11" s="213"/>
      <c r="I11" s="290" t="s">
        <v>576</v>
      </c>
      <c r="J11" s="420" t="str">
        <f>UPPER(LEFT(J10,FIND(".",J10)-1))</f>
        <v>RAINPOLE</v>
      </c>
      <c r="K11" s="421"/>
    </row>
    <row r="12" spans="2:11" ht="15" customHeight="1">
      <c r="B12" s="294" t="str">
        <f>IF('Users and Groups'!C15&lt;&gt;"","✓","")</f>
        <v>✓</v>
      </c>
      <c r="C12" s="216" t="s">
        <v>83</v>
      </c>
      <c r="E12" s="290" t="s">
        <v>48</v>
      </c>
      <c r="F12" s="392" t="s">
        <v>32</v>
      </c>
      <c r="G12" s="368"/>
      <c r="H12" s="213"/>
      <c r="I12" s="290" t="s">
        <v>577</v>
      </c>
      <c r="J12" s="406" t="s">
        <v>631</v>
      </c>
      <c r="K12" s="407"/>
    </row>
    <row r="13" spans="2:11" ht="15" customHeight="1">
      <c r="B13" s="294" t="str">
        <f>IF((AND(F13&lt;&gt;"",F14&lt;&gt;"")),"✓","")</f>
        <v>✓</v>
      </c>
      <c r="C13" s="216" t="s">
        <v>229</v>
      </c>
      <c r="E13" s="295" t="s">
        <v>699</v>
      </c>
      <c r="F13" s="420" t="str">
        <f>J22&amp;"-m01-nfs01"</f>
        <v>lax01-m01-nfs01</v>
      </c>
      <c r="G13" s="421"/>
      <c r="H13" s="213"/>
      <c r="I13" s="290" t="s">
        <v>578</v>
      </c>
      <c r="J13" s="399" t="s">
        <v>1056</v>
      </c>
      <c r="K13" s="401"/>
    </row>
    <row r="14" spans="2:11" ht="15" customHeight="1">
      <c r="B14" s="294" t="str">
        <f>IF((AND('Prerequisite Checklist'!B5="Verified")),"✓","")</f>
        <v/>
      </c>
      <c r="C14" s="216" t="s">
        <v>206</v>
      </c>
      <c r="E14" s="295" t="s">
        <v>700</v>
      </c>
      <c r="F14" s="420" t="str">
        <f>J22&amp;"-w01-nfs01"</f>
        <v>lax01-w01-nfs01</v>
      </c>
      <c r="G14" s="421"/>
      <c r="H14" s="213"/>
      <c r="I14" s="290" t="s">
        <v>579</v>
      </c>
      <c r="J14" s="408" t="str">
        <f>"ldap://"&amp;F6&amp;"."&amp;J6&amp;":389"</f>
        <v>ldap://dc51rpl.rainpole.local:389</v>
      </c>
      <c r="K14" s="409"/>
    </row>
    <row r="15" spans="2:11" ht="15" customHeight="1">
      <c r="H15" s="213"/>
      <c r="I15" s="290" t="s">
        <v>580</v>
      </c>
      <c r="J15" s="386" t="str">
        <f>IF(J7="n/a","n/a",LEFT(J7,FIND(".",J7)-1))</f>
        <v>lax01</v>
      </c>
      <c r="K15" s="387"/>
    </row>
    <row r="16" spans="2:11" ht="15" customHeight="1">
      <c r="E16" s="290" t="s">
        <v>158</v>
      </c>
      <c r="F16" s="418" t="s">
        <v>32</v>
      </c>
      <c r="G16" s="419"/>
      <c r="H16" s="213"/>
      <c r="I16" s="290" t="s">
        <v>581</v>
      </c>
      <c r="J16" s="386" t="str">
        <f>IF(J7="n/a","n/a",UPPER(LEFT(J7,FIND(".",J7)-1)))</f>
        <v>LAX01</v>
      </c>
      <c r="K16" s="387"/>
    </row>
    <row r="17" spans="2:11" ht="15" customHeight="1">
      <c r="E17" s="295" t="s">
        <v>30</v>
      </c>
      <c r="F17" s="406" t="s">
        <v>595</v>
      </c>
      <c r="G17" s="407"/>
      <c r="I17" s="290" t="s">
        <v>1020</v>
      </c>
      <c r="J17" s="399" t="s">
        <v>1022</v>
      </c>
      <c r="K17" s="401"/>
    </row>
    <row r="18" spans="2:11" ht="15" customHeight="1">
      <c r="E18" s="295" t="s">
        <v>159</v>
      </c>
      <c r="F18" s="399">
        <v>25</v>
      </c>
      <c r="G18" s="401"/>
      <c r="I18" s="290" t="s">
        <v>1019</v>
      </c>
      <c r="J18" s="406" t="s">
        <v>1057</v>
      </c>
      <c r="K18" s="407"/>
    </row>
    <row r="19" spans="2:11" ht="15" customHeight="1">
      <c r="I19" s="290" t="s">
        <v>1021</v>
      </c>
      <c r="J19" s="408" t="str">
        <f>IF(F7="n/a","n/a",("ldap://"&amp;F7&amp;"."&amp;J7&amp;":389"))</f>
        <v>ldap://dc51lax.lax01.rainpole.local:389</v>
      </c>
      <c r="K19" s="409"/>
    </row>
    <row r="20" spans="2:11" ht="15" customHeight="1">
      <c r="I20" s="290" t="s">
        <v>378</v>
      </c>
      <c r="J20" s="422" t="s">
        <v>189</v>
      </c>
      <c r="K20" s="423"/>
    </row>
    <row r="21" spans="2:11" ht="15" customHeight="1"/>
    <row r="22" spans="2:11" ht="15" customHeight="1">
      <c r="I22" s="295" t="s">
        <v>567</v>
      </c>
      <c r="J22" s="393" t="s">
        <v>591</v>
      </c>
      <c r="K22" s="394"/>
    </row>
    <row r="23" spans="2:11" ht="15" customHeight="1">
      <c r="I23" s="295" t="s">
        <v>568</v>
      </c>
      <c r="J23" s="393" t="s">
        <v>592</v>
      </c>
      <c r="K23" s="394"/>
    </row>
    <row r="24" spans="2:11" ht="15" customHeight="1"/>
    <row r="25" spans="2:11" ht="20" customHeight="1">
      <c r="B25" s="288" t="s">
        <v>35</v>
      </c>
      <c r="C25" s="289"/>
      <c r="E25" s="290" t="s">
        <v>13</v>
      </c>
      <c r="F25" s="291" t="s">
        <v>17</v>
      </c>
      <c r="G25" s="291" t="s">
        <v>1</v>
      </c>
      <c r="H25" s="292"/>
      <c r="I25" s="290" t="s">
        <v>34</v>
      </c>
      <c r="J25" s="291" t="s">
        <v>32</v>
      </c>
      <c r="K25" s="291" t="s">
        <v>140</v>
      </c>
    </row>
    <row r="26" spans="2:11" ht="15" customHeight="1">
      <c r="B26" s="296" t="str">
        <f>IF((AND(F26&lt;&gt;"",F27&lt;&gt;"",F29&lt;&gt;"",F30&lt;&gt;"",F31&lt;&gt;"")),"✓","")</f>
        <v>✓</v>
      </c>
      <c r="C26" s="216" t="s">
        <v>172</v>
      </c>
      <c r="E26" s="295" t="s">
        <v>36</v>
      </c>
      <c r="F26" s="242" t="str">
        <f>J22&amp;"m01vc01"</f>
        <v>lax01m01vc01</v>
      </c>
      <c r="G26" s="243" t="s">
        <v>1274</v>
      </c>
      <c r="H26" s="292"/>
      <c r="I26" s="295" t="s">
        <v>701</v>
      </c>
      <c r="J26" s="242" t="str">
        <f>J22&amp;"-m01dc"</f>
        <v>lax01-m01dc</v>
      </c>
      <c r="K26" s="410"/>
    </row>
    <row r="27" spans="2:11" ht="15" customHeight="1">
      <c r="B27" s="296" t="str">
        <f>IF((AND(G26&lt;&gt;"",G27&lt;&gt;"",G29&lt;&gt;"",G30&lt;&gt;"",G31&lt;&gt;"")),"✓","")</f>
        <v>✓</v>
      </c>
      <c r="C27" s="216" t="s">
        <v>173</v>
      </c>
      <c r="E27" s="295" t="s">
        <v>37</v>
      </c>
      <c r="F27" s="242" t="str">
        <f>J22&amp;"m01psc01"</f>
        <v>lax01m01psc01</v>
      </c>
      <c r="G27" s="243" t="s">
        <v>1273</v>
      </c>
      <c r="H27" s="213"/>
      <c r="I27" s="295" t="s">
        <v>702</v>
      </c>
      <c r="J27" s="242" t="str">
        <f>J22&amp;"-w01dc"</f>
        <v>lax01-w01dc</v>
      </c>
      <c r="K27" s="411"/>
    </row>
    <row r="28" spans="2:11" ht="15" customHeight="1">
      <c r="B28" s="294" t="str">
        <f>IF('Prerequisite Checklist'!B9="Verified","✓","")</f>
        <v/>
      </c>
      <c r="C28" s="216" t="s">
        <v>89</v>
      </c>
      <c r="E28" s="290" t="s">
        <v>29</v>
      </c>
      <c r="F28" s="291" t="s">
        <v>17</v>
      </c>
      <c r="G28" s="291" t="s">
        <v>1</v>
      </c>
      <c r="H28" s="213"/>
      <c r="I28" s="295" t="s">
        <v>187</v>
      </c>
      <c r="J28" s="242" t="str">
        <f>J22&amp;"-m01-mgmt01"</f>
        <v>lax01-m01-mgmt01</v>
      </c>
      <c r="K28" s="244" t="s">
        <v>10</v>
      </c>
    </row>
    <row r="29" spans="2:11" ht="15" customHeight="1">
      <c r="B29" s="296" t="str">
        <f>IF(J26&lt;&gt;"","✓","")</f>
        <v>✓</v>
      </c>
      <c r="C29" s="216" t="s">
        <v>162</v>
      </c>
      <c r="E29" s="295" t="s">
        <v>36</v>
      </c>
      <c r="F29" s="242" t="str">
        <f>J22&amp;"w01vc01"</f>
        <v>lax01w01vc01</v>
      </c>
      <c r="G29" s="243" t="s">
        <v>1276</v>
      </c>
      <c r="H29" s="213"/>
      <c r="I29" s="295" t="s">
        <v>703</v>
      </c>
      <c r="J29" s="242" t="str">
        <f>J22&amp;"-w01-shared01"</f>
        <v>lax01-w01-shared01</v>
      </c>
      <c r="K29" s="244" t="s">
        <v>10</v>
      </c>
    </row>
    <row r="30" spans="2:11" ht="15" customHeight="1">
      <c r="B30" s="296" t="str">
        <f>IF((AND(J28&lt;&gt;"",J29&lt;&gt;"")),"✓","")</f>
        <v>✓</v>
      </c>
      <c r="C30" s="216" t="s">
        <v>163</v>
      </c>
      <c r="E30" s="295" t="s">
        <v>37</v>
      </c>
      <c r="F30" s="242" t="str">
        <f>J22&amp;"w01psc01"</f>
        <v>lax01w01psc01</v>
      </c>
      <c r="G30" s="243" t="s">
        <v>1275</v>
      </c>
      <c r="H30" s="213"/>
      <c r="I30" s="290" t="s">
        <v>186</v>
      </c>
      <c r="J30" s="392" t="s">
        <v>32</v>
      </c>
      <c r="K30" s="368"/>
    </row>
    <row r="31" spans="2:11" ht="15" customHeight="1">
      <c r="B31" s="297" t="str">
        <f>IF((AND(K28&lt;&gt;"",K29&lt;&gt;"")),"✓","")</f>
        <v>✓</v>
      </c>
      <c r="C31" s="216" t="s">
        <v>164</v>
      </c>
      <c r="E31" s="295" t="s">
        <v>483</v>
      </c>
      <c r="F31" s="242" t="str">
        <f>J22&amp;"psc01"</f>
        <v>lax01psc01</v>
      </c>
      <c r="G31" s="243" t="s">
        <v>1277</v>
      </c>
      <c r="H31" s="213"/>
      <c r="I31" s="295" t="s">
        <v>705</v>
      </c>
      <c r="J31" s="386" t="str">
        <f>J22&amp;"-m01-vds01"</f>
        <v>lax01-m01-vds01</v>
      </c>
      <c r="K31" s="387"/>
    </row>
    <row r="32" spans="2:11" ht="15" customHeight="1">
      <c r="B32" s="294" t="str">
        <f>IF(AND(J31&lt;&gt;"",J33&lt;&gt;""),"✓","")</f>
        <v>✓</v>
      </c>
      <c r="C32" s="216" t="s">
        <v>188</v>
      </c>
      <c r="H32" s="213"/>
      <c r="I32" s="295" t="s">
        <v>1031</v>
      </c>
      <c r="J32" s="405">
        <v>9000</v>
      </c>
      <c r="K32" s="370"/>
    </row>
    <row r="33" spans="2:11" ht="15" customHeight="1">
      <c r="B33" s="298"/>
      <c r="C33" s="299"/>
      <c r="E33" s="300" t="s">
        <v>218</v>
      </c>
      <c r="F33" s="392" t="s">
        <v>32</v>
      </c>
      <c r="G33" s="368"/>
      <c r="H33" s="213"/>
      <c r="I33" s="295" t="s">
        <v>706</v>
      </c>
      <c r="J33" s="386" t="str">
        <f>J22&amp;"-w01-vds01"</f>
        <v>lax01-w01-vds01</v>
      </c>
      <c r="K33" s="387"/>
    </row>
    <row r="34" spans="2:11" ht="15" customHeight="1">
      <c r="B34" s="298"/>
      <c r="C34" s="299"/>
      <c r="E34" s="295" t="s">
        <v>214</v>
      </c>
      <c r="F34" s="393" t="s">
        <v>213</v>
      </c>
      <c r="G34" s="394"/>
      <c r="H34" s="213"/>
      <c r="I34" s="295" t="s">
        <v>1032</v>
      </c>
      <c r="J34" s="405">
        <v>9000</v>
      </c>
      <c r="K34" s="370"/>
    </row>
    <row r="35" spans="2:11" ht="15" customHeight="1">
      <c r="B35" s="299"/>
      <c r="C35" s="299"/>
      <c r="E35" s="295" t="s">
        <v>1085</v>
      </c>
      <c r="F35" s="393" t="s">
        <v>473</v>
      </c>
      <c r="G35" s="394"/>
      <c r="H35" s="213"/>
    </row>
    <row r="36" spans="2:11" ht="15" customHeight="1">
      <c r="E36" s="295" t="s">
        <v>1086</v>
      </c>
      <c r="F36" s="393" t="s">
        <v>688</v>
      </c>
      <c r="G36" s="394"/>
      <c r="H36" s="213"/>
      <c r="I36" s="300" t="s">
        <v>534</v>
      </c>
      <c r="J36" s="392" t="s">
        <v>32</v>
      </c>
      <c r="K36" s="368"/>
    </row>
    <row r="37" spans="2:11" ht="15" customHeight="1">
      <c r="E37" s="295" t="s">
        <v>709</v>
      </c>
      <c r="F37" s="393" t="s">
        <v>213</v>
      </c>
      <c r="G37" s="394"/>
      <c r="H37" s="213"/>
      <c r="I37" s="295" t="s">
        <v>707</v>
      </c>
      <c r="J37" s="386" t="str">
        <f>J22&amp;"-m01hp-mgmt01"</f>
        <v>lax01-m01hp-mgmt01</v>
      </c>
      <c r="K37" s="387"/>
    </row>
    <row r="38" spans="2:11" ht="15" customHeight="1">
      <c r="E38" s="295" t="s">
        <v>1087</v>
      </c>
      <c r="F38" s="393" t="s">
        <v>473</v>
      </c>
      <c r="G38" s="394"/>
      <c r="H38" s="213"/>
      <c r="I38" s="295" t="s">
        <v>708</v>
      </c>
      <c r="J38" s="386" t="str">
        <f>J22&amp;"-w01hp-comp01"</f>
        <v>lax01-w01hp-comp01</v>
      </c>
      <c r="K38" s="387"/>
    </row>
    <row r="39" spans="2:11" ht="15" customHeight="1">
      <c r="E39" s="295" t="s">
        <v>1088</v>
      </c>
      <c r="F39" s="393" t="s">
        <v>688</v>
      </c>
      <c r="G39" s="394"/>
      <c r="H39" s="213"/>
    </row>
    <row r="40" spans="2:11" ht="15" customHeight="1">
      <c r="H40" s="213"/>
    </row>
    <row r="41" spans="2:11" ht="15" customHeight="1">
      <c r="E41" s="301" t="s">
        <v>443</v>
      </c>
      <c r="F41" s="302"/>
      <c r="G41" s="302"/>
      <c r="H41" s="303"/>
      <c r="I41" s="302"/>
      <c r="J41" s="302"/>
      <c r="K41" s="302"/>
    </row>
    <row r="42" spans="2:11" s="299" customFormat="1" ht="15" customHeight="1">
      <c r="E42" s="304"/>
      <c r="H42" s="305"/>
    </row>
    <row r="43" spans="2:11" ht="15" customHeight="1">
      <c r="E43" s="295" t="s">
        <v>420</v>
      </c>
      <c r="F43" s="395" t="s">
        <v>1278</v>
      </c>
      <c r="G43" s="396"/>
      <c r="H43" s="213"/>
      <c r="I43" s="295" t="s">
        <v>421</v>
      </c>
      <c r="J43" s="395" t="s">
        <v>1281</v>
      </c>
      <c r="K43" s="396"/>
    </row>
    <row r="44" spans="2:11" ht="15" customHeight="1">
      <c r="E44" s="295" t="s">
        <v>419</v>
      </c>
      <c r="F44" s="395" t="s">
        <v>1279</v>
      </c>
      <c r="G44" s="396"/>
      <c r="H44" s="213"/>
      <c r="I44" s="295" t="s">
        <v>422</v>
      </c>
      <c r="J44" s="395" t="s">
        <v>1282</v>
      </c>
      <c r="K44" s="396"/>
    </row>
    <row r="45" spans="2:11" ht="15" customHeight="1">
      <c r="E45" s="295" t="s">
        <v>418</v>
      </c>
      <c r="F45" s="395" t="s">
        <v>1280</v>
      </c>
      <c r="G45" s="396"/>
      <c r="H45" s="213"/>
      <c r="I45" s="295" t="s">
        <v>423</v>
      </c>
      <c r="J45" s="395" t="s">
        <v>1283</v>
      </c>
      <c r="K45" s="396"/>
    </row>
    <row r="46" spans="2:11" ht="15" customHeight="1">
      <c r="E46" s="295" t="s">
        <v>424</v>
      </c>
      <c r="F46" s="393" t="s">
        <v>144</v>
      </c>
      <c r="G46" s="394"/>
      <c r="H46" s="213"/>
      <c r="I46" s="295" t="s">
        <v>429</v>
      </c>
      <c r="J46" s="393" t="s">
        <v>15</v>
      </c>
      <c r="K46" s="394"/>
    </row>
    <row r="47" spans="2:11" ht="15" customHeight="1">
      <c r="E47" s="295" t="s">
        <v>425</v>
      </c>
      <c r="F47" s="393" t="s">
        <v>15</v>
      </c>
      <c r="G47" s="394"/>
      <c r="H47" s="213"/>
    </row>
    <row r="48" spans="2:11" ht="15" customHeight="1">
      <c r="E48" s="295" t="s">
        <v>428</v>
      </c>
      <c r="F48" s="244" t="s">
        <v>145</v>
      </c>
      <c r="G48" s="244" t="s">
        <v>15</v>
      </c>
      <c r="H48" s="213"/>
    </row>
    <row r="49" spans="2:12" ht="15" customHeight="1">
      <c r="E49" s="295" t="s">
        <v>427</v>
      </c>
      <c r="F49" s="386" t="str">
        <f>J23&amp;"-m01-mgmt01"</f>
        <v>sfo01-m01-mgmt01</v>
      </c>
      <c r="G49" s="387"/>
      <c r="H49" s="213"/>
    </row>
    <row r="50" spans="2:12" ht="15" customHeight="1">
      <c r="E50" s="295" t="s">
        <v>426</v>
      </c>
      <c r="F50" s="386" t="str">
        <f>J23&amp;"-m01-nfs01"</f>
        <v>sfo01-m01-nfs01</v>
      </c>
      <c r="G50" s="387"/>
      <c r="H50" s="213"/>
    </row>
    <row r="51" spans="2:12" ht="15" customHeight="1">
      <c r="E51" s="295" t="s">
        <v>994</v>
      </c>
      <c r="F51" s="386" t="str">
        <f>J23&amp;"-m01dc"</f>
        <v>sfo01-m01dc</v>
      </c>
      <c r="G51" s="387"/>
      <c r="H51" s="213"/>
    </row>
    <row r="52" spans="2:12" ht="15" customHeight="1">
      <c r="H52" s="213"/>
    </row>
    <row r="53" spans="2:12" ht="20" customHeight="1">
      <c r="B53" s="288" t="s">
        <v>28</v>
      </c>
      <c r="C53" s="289"/>
      <c r="E53" s="306" t="s">
        <v>136</v>
      </c>
      <c r="F53" s="392" t="s">
        <v>32</v>
      </c>
      <c r="G53" s="368"/>
      <c r="H53" s="305"/>
      <c r="I53" s="213"/>
      <c r="J53" s="305"/>
      <c r="K53" s="305"/>
      <c r="L53" s="299"/>
    </row>
    <row r="54" spans="2:12" ht="15" customHeight="1">
      <c r="B54" s="296" t="str">
        <f>IF((AND(F54&lt;&gt;"",F55&lt;&gt;"")),"✓","")</f>
        <v>✓</v>
      </c>
      <c r="C54" s="216" t="s">
        <v>174</v>
      </c>
      <c r="E54" s="295" t="s">
        <v>216</v>
      </c>
      <c r="F54" s="386" t="str">
        <f>J22&amp;"-m01-vsan"</f>
        <v>lax01-m01-vsan</v>
      </c>
      <c r="G54" s="387"/>
      <c r="H54" s="305"/>
      <c r="I54" s="213"/>
      <c r="J54" s="305"/>
      <c r="K54" s="305"/>
      <c r="L54" s="299"/>
    </row>
    <row r="55" spans="2:12" ht="15" customHeight="1">
      <c r="B55" s="296" t="str">
        <f>IF((AND('Hosts and Networks'!H11&lt;&gt;"",'Hosts and Networks'!I11&lt;&gt;"",'Hosts and Networks'!J11&lt;&gt;"",'Hosts and Networks'!K11&lt;&gt;"")),"✓","")</f>
        <v>✓</v>
      </c>
      <c r="C55" s="216" t="s">
        <v>27</v>
      </c>
      <c r="E55" s="295" t="s">
        <v>217</v>
      </c>
      <c r="F55" s="386" t="str">
        <f>J22&amp;"-w01-vsan"</f>
        <v>lax01-w01-vsan</v>
      </c>
      <c r="G55" s="387"/>
      <c r="H55" s="305"/>
      <c r="I55" s="307"/>
      <c r="J55" s="305"/>
      <c r="K55" s="305"/>
      <c r="L55" s="299"/>
    </row>
    <row r="56" spans="2:12" ht="15" customHeight="1">
      <c r="B56" s="308"/>
      <c r="E56" s="307"/>
      <c r="F56" s="305"/>
      <c r="G56" s="305"/>
      <c r="H56" s="213"/>
    </row>
    <row r="57" spans="2:12" ht="20" customHeight="1">
      <c r="B57" s="288" t="s">
        <v>1060</v>
      </c>
      <c r="C57" s="289"/>
      <c r="E57" s="290" t="s">
        <v>13</v>
      </c>
      <c r="F57" s="291" t="s">
        <v>17</v>
      </c>
      <c r="G57" s="291" t="s">
        <v>1</v>
      </c>
      <c r="H57" s="292"/>
      <c r="I57" s="290" t="s">
        <v>29</v>
      </c>
      <c r="J57" s="291" t="s">
        <v>17</v>
      </c>
      <c r="K57" s="291" t="s">
        <v>1</v>
      </c>
    </row>
    <row r="58" spans="2:12">
      <c r="B58" s="296" t="str">
        <f>IF((AND(F58&lt;&gt;"",J58&lt;&gt;"")),"✓","")</f>
        <v>✓</v>
      </c>
      <c r="C58" s="216" t="s">
        <v>171</v>
      </c>
      <c r="E58" s="295" t="s">
        <v>16</v>
      </c>
      <c r="F58" s="242" t="str">
        <f>J22&amp;"m01nsx01"</f>
        <v>lax01m01nsx01</v>
      </c>
      <c r="G58" s="243" t="s">
        <v>1284</v>
      </c>
      <c r="H58" s="292"/>
      <c r="I58" s="295" t="s">
        <v>16</v>
      </c>
      <c r="J58" s="242" t="str">
        <f>J22&amp;"w01nsx01"</f>
        <v>lax01w01nsx01</v>
      </c>
      <c r="K58" s="243" t="s">
        <v>1285</v>
      </c>
    </row>
    <row r="59" spans="2:12" ht="15" customHeight="1">
      <c r="B59" s="296" t="str">
        <f>IF((AND(G58&lt;&gt;"",K58&lt;&gt;"")),"✓","")</f>
        <v>✓</v>
      </c>
      <c r="C59" s="216" t="s">
        <v>170</v>
      </c>
      <c r="E59" s="295" t="s">
        <v>225</v>
      </c>
      <c r="F59" s="410"/>
      <c r="G59" s="319" t="s">
        <v>1321</v>
      </c>
      <c r="H59" s="309" t="b">
        <f>MID(G60,FIND(".",G60,FIND(".",G60,FIND(".",G60)+1)+1)+1,LEN(G60)-FIND(".",G60,FIND(".",G60,FIND(".",G60)+1)+1))-(MID(G59,FIND(".",G59,FIND(".",G59,FIND(".",G59)+1)+1)+1,LEN(G59)-FIND(".",G59,FIND(".",G59,FIND(".",G59)+1)+1))-1)&lt;((8-H60)*2)</f>
        <v>0</v>
      </c>
      <c r="I59" s="295" t="s">
        <v>357</v>
      </c>
      <c r="J59" s="410"/>
      <c r="K59" s="319" t="s">
        <v>1323</v>
      </c>
      <c r="L59" s="310" t="e">
        <f>MID(#REF!,FIND(".",#REF!,FIND(".",#REF!,FIND(".",#REF!)+1)+1)+1,LEN(#REF!)-FIND(".",#REF!,FIND(".",#REF!,FIND(".",#REF!)+1)+1))-(MID(#REF!,FIND(".",#REF!,FIND(".",#REF!,FIND(".",#REF!)+1)+1)+1,LEN(#REF!)-FIND(".",#REF!,FIND(".",#REF!,FIND(".",#REF!)+1)+1))-1)&lt;((8-L60)*2)</f>
        <v>#REF!</v>
      </c>
    </row>
    <row r="60" spans="2:12" ht="15" customHeight="1">
      <c r="B60" s="294" t="str">
        <f>IF('Prerequisite Checklist'!B9="Verified","✓","")</f>
        <v/>
      </c>
      <c r="C60" s="216" t="s">
        <v>165</v>
      </c>
      <c r="E60" s="295" t="s">
        <v>226</v>
      </c>
      <c r="F60" s="428"/>
      <c r="G60" s="319" t="s">
        <v>1322</v>
      </c>
      <c r="H60" s="309">
        <f>COUNTIF('Hosts and Networks'!H7:O7,"n/a")</f>
        <v>4</v>
      </c>
      <c r="I60" s="295" t="s">
        <v>358</v>
      </c>
      <c r="J60" s="411"/>
      <c r="K60" s="319" t="s">
        <v>1324</v>
      </c>
      <c r="L60" s="310" t="e">
        <f>COUNTIF('Hosts and Networks'!#REF!,"n/a")</f>
        <v>#REF!</v>
      </c>
    </row>
    <row r="61" spans="2:12" ht="15" customHeight="1">
      <c r="B61" s="296" t="str">
        <f>IF((AND(G59&lt;&gt;"",G60&lt;&gt;"")),"✓","")</f>
        <v>✓</v>
      </c>
      <c r="C61" s="216" t="s">
        <v>18</v>
      </c>
      <c r="E61" s="290" t="s">
        <v>196</v>
      </c>
      <c r="F61" s="390" t="s">
        <v>32</v>
      </c>
      <c r="G61" s="412"/>
      <c r="H61" s="213"/>
      <c r="I61" s="306" t="s">
        <v>269</v>
      </c>
      <c r="J61" s="291" t="s">
        <v>9</v>
      </c>
      <c r="K61" s="291" t="s">
        <v>270</v>
      </c>
      <c r="L61" s="310" t="e">
        <f>MID(#REF!,FIND(".",#REF!,FIND(".",#REF!,FIND(".",#REF!)+1)+1)+1,LEN(#REF!)-FIND(".",#REF!,FIND(".",#REF!,FIND(".",#REF!)+1)+1))-(MID(#REF!,FIND(".",#REF!,FIND(".",#REF!,FIND(".",#REF!)+1)+1)+1,LEN(#REF!)-FIND(".",#REF!,FIND(".",#REF!,FIND(".",#REF!)+1)+1))-1)&lt;((4-L62)*2)</f>
        <v>#REF!</v>
      </c>
    </row>
    <row r="62" spans="2:12" ht="15" customHeight="1">
      <c r="B62" s="296" t="str">
        <f>IF((AND(F78&lt;&gt;"",F79&lt;&gt;"",F81&lt;&gt;"",F82&lt;&gt;"",F83&lt;&gt;"",F85&lt;&gt;"",F86&lt;&gt;"",F87&lt;&gt;"")),"✓","")</f>
        <v>✓</v>
      </c>
      <c r="C62" s="216" t="s">
        <v>438</v>
      </c>
      <c r="E62" s="295" t="s">
        <v>197</v>
      </c>
      <c r="F62" s="404" t="s">
        <v>596</v>
      </c>
      <c r="G62" s="404"/>
      <c r="H62" s="213"/>
      <c r="I62" s="311" t="s">
        <v>519</v>
      </c>
      <c r="J62" s="404" t="s">
        <v>520</v>
      </c>
      <c r="K62" s="404"/>
      <c r="L62" s="310">
        <f>COUNTIF('Hosts and Networks'!H18:K18,"n/a")</f>
        <v>0</v>
      </c>
    </row>
    <row r="63" spans="2:12" ht="15" customHeight="1">
      <c r="B63" s="296" t="str">
        <f>IF((AND(F89&lt;&gt;"",F90&lt;&gt;"",F91&lt;&gt;"",F92&lt;&gt;"",F93&lt;&gt;"",F94&lt;&gt;"")),"✓","")</f>
        <v>✓</v>
      </c>
      <c r="C63" s="216" t="s">
        <v>439</v>
      </c>
      <c r="E63" s="295" t="s">
        <v>239</v>
      </c>
      <c r="F63" s="413" t="str">
        <f>J22&amp;"-m01-NSXBackup"</f>
        <v>lax01-m01-NSXBackup</v>
      </c>
      <c r="G63" s="414"/>
      <c r="H63" s="213"/>
      <c r="I63" s="311" t="s">
        <v>399</v>
      </c>
      <c r="J63" s="320" t="s">
        <v>402</v>
      </c>
      <c r="K63" s="320" t="s">
        <v>403</v>
      </c>
      <c r="L63" s="310" t="e">
        <f>MID(K60,FIND(".",K60,FIND(".",K60,FIND(".",K60)+1)+1)+1,LEN(K60)-FIND(".",K60,FIND(".",K60,FIND(".",K60)+1)+1))-(MID(K59,FIND(".",K59,FIND(".",K59,FIND(".",K59)+1)+1)+1,LEN(K59)-FIND(".",K59,FIND(".",K59,FIND(".",K59)+1)+1))-1)&lt;((12-L64)*2)</f>
        <v>#REF!</v>
      </c>
    </row>
    <row r="64" spans="2:12" ht="15" customHeight="1">
      <c r="B64" s="296" t="str">
        <f>IF((AND(F97&lt;&gt;"",F98&lt;&gt;"",F99&lt;&gt;"")),"✓","")</f>
        <v>✓</v>
      </c>
      <c r="C64" s="216" t="s">
        <v>440</v>
      </c>
      <c r="E64" s="295" t="s">
        <v>529</v>
      </c>
      <c r="F64" s="413" t="str">
        <f>J22&amp;"-w01-NSXBackup"</f>
        <v>lax01-w01-NSXBackup</v>
      </c>
      <c r="G64" s="414"/>
      <c r="H64" s="213"/>
      <c r="I64" s="311" t="s">
        <v>400</v>
      </c>
      <c r="J64" s="387" t="str">
        <f>IF(J7="n/a",J6,J7)</f>
        <v>lax01.rainpole.local</v>
      </c>
      <c r="K64" s="387"/>
      <c r="L64" s="312" t="e">
        <f>COUNTIF('Hosts and Networks'!#REF!,"n/a")+COUNTIF('Hosts and Networks'!H18:K18,"n/a")</f>
        <v>#REF!</v>
      </c>
    </row>
    <row r="65" spans="2:11" ht="15" customHeight="1">
      <c r="B65" s="296" t="str">
        <f>IF((AND(J78&lt;&gt;"",J79&lt;&gt;"",J81&lt;&gt;"",J82&lt;&gt;"",J83&lt;&gt;"",J85&lt;&gt;"",J86&lt;&gt;"",J87&lt;&gt;"")),"✓","")</f>
        <v>✓</v>
      </c>
      <c r="C65" s="216" t="s">
        <v>441</v>
      </c>
      <c r="E65" s="295" t="s">
        <v>198</v>
      </c>
      <c r="F65" s="426" t="s">
        <v>200</v>
      </c>
      <c r="G65" s="427"/>
      <c r="H65" s="213"/>
      <c r="I65" s="311" t="s">
        <v>401</v>
      </c>
      <c r="J65" s="387" t="str">
        <f>IF(J7="n/a",J6,J7)</f>
        <v>lax01.rainpole.local</v>
      </c>
      <c r="K65" s="387"/>
    </row>
    <row r="66" spans="2:11" ht="15" customHeight="1">
      <c r="B66" s="296" t="str">
        <f>IF((AND(J89&lt;&gt;"",J90&lt;&gt;"",J91&lt;&gt;"",J92&lt;&gt;"",J93&lt;&gt;"",J94&lt;&gt;"")),"✓","")</f>
        <v>✓</v>
      </c>
      <c r="C66" s="216" t="s">
        <v>442</v>
      </c>
      <c r="E66" s="295" t="s">
        <v>199</v>
      </c>
      <c r="F66" s="426" t="s">
        <v>15</v>
      </c>
      <c r="G66" s="427"/>
      <c r="H66" s="213"/>
      <c r="I66" s="311" t="s">
        <v>530</v>
      </c>
      <c r="J66" s="404" t="s">
        <v>531</v>
      </c>
      <c r="K66" s="404"/>
    </row>
    <row r="67" spans="2:11" ht="15" customHeight="1">
      <c r="B67" s="296" t="str">
        <f>IF((AND(J97&lt;&gt;"",J98&lt;&gt;"",J99&lt;&gt;"")),"✓","")</f>
        <v>✓</v>
      </c>
      <c r="C67" s="216" t="s">
        <v>290</v>
      </c>
      <c r="H67" s="213"/>
      <c r="I67" s="311" t="s">
        <v>271</v>
      </c>
      <c r="J67" s="321" t="s">
        <v>609</v>
      </c>
      <c r="K67" s="321" t="s">
        <v>610</v>
      </c>
    </row>
    <row r="68" spans="2:11" ht="15" customHeight="1">
      <c r="H68" s="213"/>
      <c r="I68" s="311" t="s">
        <v>359</v>
      </c>
      <c r="J68" s="387" t="str">
        <f>IF(F121="child",J7,J6)</f>
        <v>lax01.rainpole.local</v>
      </c>
      <c r="K68" s="387"/>
    </row>
    <row r="69" spans="2:11" ht="15" customHeight="1">
      <c r="E69" s="286" t="s">
        <v>1196</v>
      </c>
      <c r="F69" s="245">
        <v>9000</v>
      </c>
      <c r="H69" s="213"/>
      <c r="I69" s="311" t="s">
        <v>360</v>
      </c>
      <c r="J69" s="387" t="str">
        <f>IF(F121="child",J7,J6)</f>
        <v>lax01.rainpole.local</v>
      </c>
      <c r="K69" s="387"/>
    </row>
    <row r="70" spans="2:11" ht="15" customHeight="1">
      <c r="B70" s="308"/>
      <c r="E70" s="295" t="s">
        <v>1013</v>
      </c>
      <c r="F70" s="399" t="s">
        <v>337</v>
      </c>
      <c r="G70" s="401"/>
      <c r="H70" s="213"/>
      <c r="I70" s="311" t="s">
        <v>272</v>
      </c>
      <c r="J70" s="229"/>
      <c r="K70" s="321" t="s">
        <v>611</v>
      </c>
    </row>
    <row r="71" spans="2:11" ht="15" customHeight="1">
      <c r="B71" s="308"/>
      <c r="H71" s="213"/>
      <c r="I71" s="295" t="s">
        <v>291</v>
      </c>
      <c r="J71" s="242" t="str">
        <f>J22&amp;"m01lb01"</f>
        <v>lax01m01lb01</v>
      </c>
    </row>
    <row r="72" spans="2:11" ht="15" customHeight="1">
      <c r="B72" s="308"/>
      <c r="H72" s="213"/>
    </row>
    <row r="73" spans="2:11" ht="15" customHeight="1">
      <c r="B73" s="308"/>
      <c r="E73" s="306" t="s">
        <v>490</v>
      </c>
      <c r="F73" s="291" t="s">
        <v>491</v>
      </c>
      <c r="G73" s="291" t="s">
        <v>492</v>
      </c>
      <c r="H73" s="213"/>
      <c r="I73" s="306" t="s">
        <v>493</v>
      </c>
      <c r="J73" s="291" t="s">
        <v>491</v>
      </c>
      <c r="K73" s="291" t="s">
        <v>492</v>
      </c>
    </row>
    <row r="74" spans="2:11" ht="15" customHeight="1">
      <c r="B74" s="308"/>
      <c r="E74" s="311" t="s">
        <v>494</v>
      </c>
      <c r="F74" s="245">
        <v>5300</v>
      </c>
      <c r="G74" s="245">
        <v>5500</v>
      </c>
      <c r="H74" s="213"/>
      <c r="I74" s="311" t="s">
        <v>494</v>
      </c>
      <c r="J74" s="245">
        <v>5900</v>
      </c>
      <c r="K74" s="245">
        <v>6100</v>
      </c>
    </row>
    <row r="75" spans="2:11" ht="15" customHeight="1">
      <c r="B75" s="308"/>
      <c r="E75" s="311" t="s">
        <v>495</v>
      </c>
      <c r="F75" s="245" t="s">
        <v>497</v>
      </c>
      <c r="G75" s="245" t="s">
        <v>498</v>
      </c>
      <c r="H75" s="213"/>
      <c r="I75" s="311" t="s">
        <v>495</v>
      </c>
      <c r="J75" s="245" t="s">
        <v>499</v>
      </c>
      <c r="K75" s="245" t="s">
        <v>500</v>
      </c>
    </row>
    <row r="76" spans="2:11" ht="15" customHeight="1">
      <c r="B76" s="308"/>
      <c r="H76" s="213"/>
    </row>
    <row r="77" spans="2:11" ht="15" customHeight="1">
      <c r="B77" s="308"/>
      <c r="E77" s="290" t="s">
        <v>434</v>
      </c>
      <c r="F77" s="390" t="s">
        <v>32</v>
      </c>
      <c r="G77" s="391"/>
      <c r="H77" s="213"/>
      <c r="I77" s="290" t="s">
        <v>435</v>
      </c>
      <c r="J77" s="390" t="s">
        <v>32</v>
      </c>
      <c r="K77" s="391"/>
    </row>
    <row r="78" spans="2:11" ht="15" customHeight="1">
      <c r="B78" s="308"/>
      <c r="E78" s="295" t="s">
        <v>436</v>
      </c>
      <c r="F78" s="399">
        <v>65003</v>
      </c>
      <c r="G78" s="401"/>
      <c r="H78" s="213"/>
      <c r="I78" s="295" t="s">
        <v>436</v>
      </c>
      <c r="J78" s="399">
        <v>65000</v>
      </c>
      <c r="K78" s="401"/>
    </row>
    <row r="79" spans="2:11" ht="15" customHeight="1">
      <c r="B79" s="308"/>
      <c r="E79" s="295" t="s">
        <v>437</v>
      </c>
      <c r="F79" s="399" t="s">
        <v>15</v>
      </c>
      <c r="G79" s="401"/>
      <c r="H79" s="213"/>
      <c r="I79" s="295" t="s">
        <v>437</v>
      </c>
      <c r="J79" s="399" t="s">
        <v>15</v>
      </c>
      <c r="K79" s="401"/>
    </row>
    <row r="80" spans="2:11" ht="15" customHeight="1">
      <c r="B80" s="308"/>
      <c r="E80" s="290" t="s">
        <v>253</v>
      </c>
      <c r="F80" s="390" t="s">
        <v>32</v>
      </c>
      <c r="G80" s="391"/>
      <c r="H80" s="213"/>
      <c r="I80" s="290" t="s">
        <v>259</v>
      </c>
      <c r="J80" s="390" t="s">
        <v>32</v>
      </c>
      <c r="K80" s="391"/>
    </row>
    <row r="81" spans="2:11" ht="15" customHeight="1">
      <c r="B81" s="308"/>
      <c r="E81" s="295" t="s">
        <v>254</v>
      </c>
      <c r="F81" s="408" t="str">
        <f>J22&amp;"m01esg01"</f>
        <v>lax01m01esg01</v>
      </c>
      <c r="G81" s="409"/>
      <c r="H81" s="213"/>
      <c r="I81" s="295" t="s">
        <v>254</v>
      </c>
      <c r="J81" s="408" t="str">
        <f>J22&amp;"w01esg01"</f>
        <v>lax01w01esg01</v>
      </c>
      <c r="K81" s="409"/>
    </row>
    <row r="82" spans="2:11" ht="15" customHeight="1">
      <c r="B82" s="308"/>
      <c r="E82" s="295" t="s">
        <v>255</v>
      </c>
      <c r="F82" s="402" t="s">
        <v>1286</v>
      </c>
      <c r="G82" s="401"/>
      <c r="H82" s="213"/>
      <c r="I82" s="295" t="s">
        <v>255</v>
      </c>
      <c r="J82" s="402" t="s">
        <v>1292</v>
      </c>
      <c r="K82" s="401"/>
    </row>
    <row r="83" spans="2:11" ht="15" customHeight="1">
      <c r="B83" s="308"/>
      <c r="E83" s="295" t="s">
        <v>256</v>
      </c>
      <c r="F83" s="403" t="s">
        <v>1287</v>
      </c>
      <c r="G83" s="401"/>
      <c r="H83" s="213"/>
      <c r="I83" s="295" t="s">
        <v>256</v>
      </c>
      <c r="J83" s="403" t="s">
        <v>1294</v>
      </c>
      <c r="K83" s="401"/>
    </row>
    <row r="84" spans="2:11" ht="15" customHeight="1">
      <c r="B84" s="308"/>
      <c r="E84" s="290" t="s">
        <v>257</v>
      </c>
      <c r="F84" s="390" t="s">
        <v>32</v>
      </c>
      <c r="G84" s="391"/>
      <c r="H84" s="213"/>
      <c r="I84" s="290" t="s">
        <v>260</v>
      </c>
      <c r="J84" s="390" t="s">
        <v>32</v>
      </c>
      <c r="K84" s="391"/>
    </row>
    <row r="85" spans="2:11" ht="15" customHeight="1">
      <c r="B85" s="308"/>
      <c r="E85" s="295" t="s">
        <v>254</v>
      </c>
      <c r="F85" s="408" t="str">
        <f>J22&amp;"m01esg02"</f>
        <v>lax01m01esg02</v>
      </c>
      <c r="G85" s="409"/>
      <c r="H85" s="213"/>
      <c r="I85" s="295" t="s">
        <v>254</v>
      </c>
      <c r="J85" s="408" t="str">
        <f>J22&amp;"w01esg02"</f>
        <v>lax01w01esg02</v>
      </c>
      <c r="K85" s="409"/>
    </row>
    <row r="86" spans="2:11" ht="15" customHeight="1">
      <c r="B86" s="308"/>
      <c r="E86" s="295" t="s">
        <v>255</v>
      </c>
      <c r="F86" s="402" t="s">
        <v>1288</v>
      </c>
      <c r="G86" s="401"/>
      <c r="H86" s="213"/>
      <c r="I86" s="295" t="s">
        <v>255</v>
      </c>
      <c r="J86" s="402" t="s">
        <v>1293</v>
      </c>
      <c r="K86" s="401"/>
    </row>
    <row r="87" spans="2:11" ht="15" customHeight="1">
      <c r="B87" s="308"/>
      <c r="E87" s="295" t="s">
        <v>256</v>
      </c>
      <c r="F87" s="403" t="s">
        <v>1289</v>
      </c>
      <c r="G87" s="401"/>
      <c r="H87" s="213"/>
      <c r="I87" s="295" t="s">
        <v>256</v>
      </c>
      <c r="J87" s="403" t="s">
        <v>1295</v>
      </c>
      <c r="K87" s="401"/>
    </row>
    <row r="88" spans="2:11" ht="15" customHeight="1">
      <c r="B88" s="308"/>
      <c r="E88" s="290" t="s">
        <v>279</v>
      </c>
      <c r="F88" s="390" t="s">
        <v>32</v>
      </c>
      <c r="G88" s="391"/>
      <c r="H88" s="213"/>
      <c r="I88" s="290" t="s">
        <v>313</v>
      </c>
      <c r="J88" s="390" t="s">
        <v>32</v>
      </c>
      <c r="K88" s="391"/>
    </row>
    <row r="89" spans="2:11" ht="15" customHeight="1">
      <c r="B89" s="308"/>
      <c r="E89" s="295" t="s">
        <v>349</v>
      </c>
      <c r="F89" s="402" t="s">
        <v>1291</v>
      </c>
      <c r="G89" s="401"/>
      <c r="H89" s="213"/>
      <c r="I89" s="295" t="s">
        <v>349</v>
      </c>
      <c r="J89" s="402" t="s">
        <v>1296</v>
      </c>
      <c r="K89" s="401"/>
    </row>
    <row r="90" spans="2:11" ht="15" customHeight="1">
      <c r="B90" s="308"/>
      <c r="E90" s="295" t="s">
        <v>350</v>
      </c>
      <c r="F90" s="399">
        <v>65002</v>
      </c>
      <c r="G90" s="401"/>
      <c r="H90" s="213"/>
      <c r="I90" s="295" t="s">
        <v>350</v>
      </c>
      <c r="J90" s="399">
        <v>65002</v>
      </c>
      <c r="K90" s="401"/>
    </row>
    <row r="91" spans="2:11" ht="15" customHeight="1">
      <c r="B91" s="308"/>
      <c r="E91" s="295" t="s">
        <v>351</v>
      </c>
      <c r="F91" s="399" t="s">
        <v>15</v>
      </c>
      <c r="G91" s="400"/>
      <c r="H91" s="213"/>
      <c r="I91" s="295" t="s">
        <v>351</v>
      </c>
      <c r="J91" s="399" t="s">
        <v>15</v>
      </c>
      <c r="K91" s="400"/>
    </row>
    <row r="92" spans="2:11" ht="15" customHeight="1">
      <c r="B92" s="308"/>
      <c r="E92" s="295" t="s">
        <v>352</v>
      </c>
      <c r="F92" s="403" t="s">
        <v>1290</v>
      </c>
      <c r="G92" s="401"/>
      <c r="H92" s="213"/>
      <c r="I92" s="295" t="s">
        <v>352</v>
      </c>
      <c r="J92" s="403" t="s">
        <v>1297</v>
      </c>
      <c r="K92" s="401"/>
    </row>
    <row r="93" spans="2:11" ht="15" customHeight="1">
      <c r="B93" s="308"/>
      <c r="E93" s="295" t="s">
        <v>353</v>
      </c>
      <c r="F93" s="399">
        <v>65002</v>
      </c>
      <c r="G93" s="401"/>
      <c r="H93" s="213"/>
      <c r="I93" s="295" t="s">
        <v>353</v>
      </c>
      <c r="J93" s="399">
        <v>65002</v>
      </c>
      <c r="K93" s="401"/>
    </row>
    <row r="94" spans="2:11" ht="15" customHeight="1">
      <c r="B94" s="308"/>
      <c r="E94" s="295" t="s">
        <v>354</v>
      </c>
      <c r="F94" s="399" t="s">
        <v>15</v>
      </c>
      <c r="G94" s="400"/>
      <c r="H94" s="213"/>
      <c r="I94" s="295" t="s">
        <v>354</v>
      </c>
      <c r="J94" s="399" t="s">
        <v>15</v>
      </c>
      <c r="K94" s="400"/>
    </row>
    <row r="95" spans="2:11" ht="15" customHeight="1">
      <c r="B95" s="308"/>
      <c r="E95" s="290" t="s">
        <v>277</v>
      </c>
      <c r="F95" s="390" t="s">
        <v>32</v>
      </c>
      <c r="G95" s="391"/>
      <c r="H95" s="213"/>
      <c r="I95" s="290" t="s">
        <v>278</v>
      </c>
      <c r="J95" s="390" t="s">
        <v>32</v>
      </c>
      <c r="K95" s="391"/>
    </row>
    <row r="96" spans="2:11" ht="15" customHeight="1">
      <c r="B96" s="308"/>
      <c r="E96" s="295" t="s">
        <v>518</v>
      </c>
      <c r="F96" s="399" t="s">
        <v>1298</v>
      </c>
      <c r="G96" s="401"/>
      <c r="H96" s="213"/>
      <c r="I96" s="295" t="s">
        <v>518</v>
      </c>
      <c r="J96" s="399" t="s">
        <v>1299</v>
      </c>
      <c r="K96" s="401"/>
    </row>
    <row r="97" spans="2:12" ht="15" customHeight="1">
      <c r="B97" s="308"/>
      <c r="E97" s="295" t="s">
        <v>459</v>
      </c>
      <c r="F97" s="388" t="s">
        <v>1300</v>
      </c>
      <c r="G97" s="401"/>
      <c r="H97" s="213"/>
      <c r="I97" s="295" t="s">
        <v>459</v>
      </c>
      <c r="J97" s="388" t="s">
        <v>1301</v>
      </c>
      <c r="K97" s="401"/>
    </row>
    <row r="98" spans="2:12" ht="15" customHeight="1">
      <c r="B98" s="308"/>
      <c r="E98" s="295" t="s">
        <v>460</v>
      </c>
      <c r="F98" s="397" t="s">
        <v>386</v>
      </c>
      <c r="G98" s="398"/>
      <c r="H98" s="213"/>
      <c r="I98" s="295" t="s">
        <v>460</v>
      </c>
      <c r="J98" s="397" t="s">
        <v>461</v>
      </c>
      <c r="K98" s="398"/>
    </row>
    <row r="99" spans="2:12" ht="15" customHeight="1">
      <c r="B99" s="308"/>
      <c r="E99" s="295" t="s">
        <v>449</v>
      </c>
      <c r="F99" s="397" t="s">
        <v>447</v>
      </c>
      <c r="G99" s="398"/>
      <c r="H99" s="213"/>
      <c r="I99" s="295" t="s">
        <v>449</v>
      </c>
      <c r="J99" s="397" t="s">
        <v>448</v>
      </c>
      <c r="K99" s="398"/>
    </row>
    <row r="100" spans="2:12" ht="15" customHeight="1">
      <c r="B100" s="308"/>
      <c r="E100" s="295" t="s">
        <v>450</v>
      </c>
      <c r="F100" s="397" t="s">
        <v>430</v>
      </c>
      <c r="G100" s="398"/>
      <c r="H100" s="213"/>
      <c r="I100" s="295" t="s">
        <v>450</v>
      </c>
      <c r="J100" s="397" t="s">
        <v>431</v>
      </c>
      <c r="K100" s="398"/>
    </row>
    <row r="101" spans="2:12" ht="15" customHeight="1">
      <c r="B101" s="308"/>
      <c r="E101" s="295" t="s">
        <v>513</v>
      </c>
      <c r="F101" s="429" t="s">
        <v>258</v>
      </c>
      <c r="G101" s="401"/>
      <c r="H101" s="213"/>
      <c r="I101" s="295" t="s">
        <v>513</v>
      </c>
      <c r="J101" s="429" t="s">
        <v>261</v>
      </c>
      <c r="K101" s="401"/>
    </row>
    <row r="102" spans="2:12" ht="15" customHeight="1">
      <c r="B102" s="308"/>
      <c r="G102" s="313"/>
      <c r="H102" s="213"/>
      <c r="I102" s="290" t="s">
        <v>504</v>
      </c>
      <c r="J102" s="390" t="s">
        <v>32</v>
      </c>
      <c r="K102" s="391"/>
    </row>
    <row r="103" spans="2:12" ht="15" customHeight="1">
      <c r="B103" s="308"/>
      <c r="E103" s="301" t="s">
        <v>443</v>
      </c>
      <c r="F103" s="302"/>
      <c r="G103" s="302"/>
      <c r="H103" s="213"/>
      <c r="I103" s="295" t="s">
        <v>516</v>
      </c>
      <c r="J103" s="408" t="str">
        <f>J22&amp;"w01dlr01"</f>
        <v>lax01w01dlr01</v>
      </c>
      <c r="K103" s="430"/>
    </row>
    <row r="104" spans="2:12" ht="15" customHeight="1">
      <c r="B104" s="308"/>
      <c r="E104" s="295" t="s">
        <v>532</v>
      </c>
      <c r="F104" s="440" t="str">
        <f>J23&amp;"m01esg01"</f>
        <v>sfo01m01esg01</v>
      </c>
      <c r="G104" s="441"/>
      <c r="H104" s="213"/>
      <c r="I104" s="295" t="s">
        <v>459</v>
      </c>
      <c r="J104" s="388" t="s">
        <v>509</v>
      </c>
      <c r="K104" s="389"/>
    </row>
    <row r="105" spans="2:12" ht="15" customHeight="1">
      <c r="B105" s="308"/>
      <c r="E105" s="295" t="s">
        <v>533</v>
      </c>
      <c r="F105" s="440" t="str">
        <f>J23&amp;"m01esg02"</f>
        <v>sfo01m01esg02</v>
      </c>
      <c r="G105" s="441"/>
      <c r="H105" s="213"/>
      <c r="I105" s="295" t="s">
        <v>460</v>
      </c>
      <c r="J105" s="388" t="s">
        <v>510</v>
      </c>
      <c r="K105" s="389"/>
    </row>
    <row r="106" spans="2:12" ht="15" customHeight="1">
      <c r="B106" s="308"/>
      <c r="E106" s="306" t="s">
        <v>269</v>
      </c>
      <c r="F106" s="291" t="s">
        <v>9</v>
      </c>
      <c r="G106" s="291" t="s">
        <v>270</v>
      </c>
      <c r="H106" s="213"/>
      <c r="I106" s="295" t="s">
        <v>505</v>
      </c>
      <c r="J106" s="388" t="s">
        <v>511</v>
      </c>
      <c r="K106" s="389"/>
    </row>
    <row r="107" spans="2:12" ht="15" customHeight="1">
      <c r="B107" s="308"/>
      <c r="E107" s="295" t="s">
        <v>417</v>
      </c>
      <c r="F107" s="118" t="s">
        <v>1017</v>
      </c>
      <c r="G107" s="118" t="s">
        <v>629</v>
      </c>
      <c r="H107" s="213"/>
      <c r="I107" s="295" t="s">
        <v>506</v>
      </c>
      <c r="J107" s="388" t="s">
        <v>512</v>
      </c>
      <c r="K107" s="389"/>
    </row>
    <row r="108" spans="2:12" ht="15" customHeight="1">
      <c r="B108" s="308"/>
      <c r="G108" s="313"/>
      <c r="H108" s="213"/>
      <c r="I108" s="295" t="s">
        <v>507</v>
      </c>
      <c r="J108" s="388" t="s">
        <v>508</v>
      </c>
      <c r="K108" s="389"/>
    </row>
    <row r="109" spans="2:12" ht="15" customHeight="1">
      <c r="B109" s="308"/>
      <c r="G109" s="313"/>
      <c r="H109" s="213"/>
      <c r="I109" s="313"/>
      <c r="J109" s="313"/>
      <c r="K109" s="313"/>
      <c r="L109" s="313"/>
    </row>
    <row r="110" spans="2:12" ht="15" customHeight="1">
      <c r="B110" s="288" t="s">
        <v>988</v>
      </c>
      <c r="C110" s="289"/>
      <c r="E110" s="301" t="s">
        <v>443</v>
      </c>
      <c r="F110" s="302"/>
      <c r="G110" s="302"/>
      <c r="I110" s="213"/>
    </row>
    <row r="111" spans="2:12" ht="15" customHeight="1">
      <c r="B111" s="294" t="str">
        <f>IF('Prerequisite Checklist'!B15="Verified","✓","")</f>
        <v/>
      </c>
      <c r="C111" s="216" t="s">
        <v>989</v>
      </c>
      <c r="E111" s="290" t="s">
        <v>2</v>
      </c>
      <c r="F111" s="291" t="s">
        <v>17</v>
      </c>
      <c r="G111" s="291" t="s">
        <v>1</v>
      </c>
      <c r="H111" s="213"/>
      <c r="I111" s="213"/>
    </row>
    <row r="112" spans="2:12" ht="15" customHeight="1">
      <c r="B112" s="308"/>
      <c r="E112" s="295" t="s">
        <v>990</v>
      </c>
      <c r="F112" s="244" t="s">
        <v>1325</v>
      </c>
      <c r="G112" s="321" t="s">
        <v>1030</v>
      </c>
      <c r="H112" s="213"/>
      <c r="I112" s="213"/>
    </row>
    <row r="113" spans="2:11" ht="15" customHeight="1">
      <c r="B113" s="308"/>
      <c r="E113" s="307"/>
      <c r="F113" s="305"/>
      <c r="G113" s="305"/>
      <c r="H113" s="213"/>
      <c r="I113" s="213"/>
    </row>
    <row r="114" spans="2:11" ht="20" customHeight="1">
      <c r="B114" s="288" t="s">
        <v>3</v>
      </c>
      <c r="C114" s="289"/>
      <c r="E114" s="290" t="s">
        <v>2</v>
      </c>
      <c r="F114" s="291" t="s">
        <v>17</v>
      </c>
      <c r="G114" s="291" t="s">
        <v>1</v>
      </c>
      <c r="I114" s="301" t="s">
        <v>443</v>
      </c>
      <c r="J114" s="302"/>
      <c r="K114" s="302"/>
    </row>
    <row r="115" spans="2:11" ht="15" customHeight="1">
      <c r="B115" s="294" t="str">
        <f>IF((AND(F115&lt;&gt;"",F116&lt;&gt;"")),"✓","")</f>
        <v>✓</v>
      </c>
      <c r="C115" s="216" t="s">
        <v>175</v>
      </c>
      <c r="E115" s="295" t="s">
        <v>1102</v>
      </c>
      <c r="F115" s="322" t="str">
        <f>J22&amp;"ias01a"</f>
        <v>lax01ias01a</v>
      </c>
      <c r="G115" s="320" t="s">
        <v>1305</v>
      </c>
      <c r="I115" s="290" t="s">
        <v>1193</v>
      </c>
      <c r="J115" s="392" t="s">
        <v>1</v>
      </c>
      <c r="K115" s="368"/>
    </row>
    <row r="116" spans="2:11" ht="15" customHeight="1">
      <c r="B116" s="294" t="str">
        <f>IF((AND(K116&lt;&gt;"",K117&lt;&gt;"",K119&lt;&gt;"",K120&lt;&gt;"",K121&lt;&gt;"",K122&lt;&gt;"",K123&lt;&gt;"",K124&lt;&gt;"",G115&lt;&gt;"",G116&lt;&gt;"")),"✓","")</f>
        <v>✓</v>
      </c>
      <c r="C116" s="216" t="s">
        <v>180</v>
      </c>
      <c r="E116" s="295" t="s">
        <v>1103</v>
      </c>
      <c r="F116" s="322" t="str">
        <f>J22&amp;"ias01b"</f>
        <v>lax01ias01b</v>
      </c>
      <c r="G116" s="320" t="s">
        <v>1306</v>
      </c>
      <c r="I116" s="295" t="s">
        <v>1093</v>
      </c>
      <c r="J116" s="244" t="s">
        <v>712</v>
      </c>
      <c r="K116" s="321" t="s">
        <v>612</v>
      </c>
    </row>
    <row r="117" spans="2:11" ht="15" customHeight="1">
      <c r="B117" s="294" t="str">
        <f>IF('Prerequisite Checklist'!B11="Verified","✓","")</f>
        <v/>
      </c>
      <c r="C117" s="216" t="s">
        <v>230</v>
      </c>
      <c r="E117" s="290" t="s">
        <v>191</v>
      </c>
      <c r="F117" s="390" t="s">
        <v>32</v>
      </c>
      <c r="G117" s="436"/>
      <c r="I117" s="295" t="s">
        <v>1094</v>
      </c>
      <c r="J117" s="244" t="s">
        <v>713</v>
      </c>
      <c r="K117" s="321" t="s">
        <v>613</v>
      </c>
    </row>
    <row r="118" spans="2:11" ht="15" customHeight="1">
      <c r="B118" s="294" t="str">
        <f>IF((AND('Users and Groups'!B41&lt;&gt;"",'Users and Groups'!C41&lt;&gt;"")),"✓","")</f>
        <v>✓</v>
      </c>
      <c r="C118" s="216" t="s">
        <v>181</v>
      </c>
      <c r="E118" s="295" t="s">
        <v>235</v>
      </c>
      <c r="F118" s="420" t="str">
        <f>IF(J115="root",F29&amp;"."&amp;J6,F29&amp;"."&amp;J7)</f>
        <v>lax01w01vc01.lax01.rainpole.local</v>
      </c>
      <c r="G118" s="421"/>
      <c r="I118" s="295" t="s">
        <v>1095</v>
      </c>
      <c r="J118" s="244" t="s">
        <v>710</v>
      </c>
      <c r="K118" s="321" t="s">
        <v>711</v>
      </c>
    </row>
    <row r="119" spans="2:11" ht="15" customHeight="1">
      <c r="B119" s="294" t="str">
        <f>IF((AND(F122&lt;&gt;"")),"✓","")</f>
        <v>✓</v>
      </c>
      <c r="C119" s="216" t="s">
        <v>182</v>
      </c>
      <c r="E119" s="295" t="s">
        <v>205</v>
      </c>
      <c r="F119" s="420" t="str">
        <f>IF(J115="root",F29&amp;"."&amp;J6,F29&amp;"."&amp;J7)</f>
        <v>lax01w01vc01.lax01.rainpole.local</v>
      </c>
      <c r="G119" s="421"/>
      <c r="I119" s="295" t="s">
        <v>1096</v>
      </c>
      <c r="J119" s="244" t="s">
        <v>714</v>
      </c>
      <c r="K119" s="321" t="s">
        <v>614</v>
      </c>
    </row>
    <row r="120" spans="2:11" ht="15" customHeight="1">
      <c r="B120" s="294" t="str">
        <f>IF((AND('Prerequisite Checklist'!B32&lt;&gt;"")),"✓","")</f>
        <v/>
      </c>
      <c r="C120" s="216" t="s">
        <v>231</v>
      </c>
      <c r="E120" s="290" t="s">
        <v>381</v>
      </c>
      <c r="F120" s="390" t="s">
        <v>32</v>
      </c>
      <c r="G120" s="436"/>
      <c r="I120" s="295" t="s">
        <v>1097</v>
      </c>
      <c r="J120" s="244" t="s">
        <v>715</v>
      </c>
      <c r="K120" s="321" t="s">
        <v>615</v>
      </c>
    </row>
    <row r="121" spans="2:11" ht="15" customHeight="1">
      <c r="B121" s="294" t="str">
        <f>IF((AND('Users and Groups'!B10&lt;&gt;"",'Users and Groups'!B45&lt;&gt;"",'Users and Groups'!C45&lt;&gt;"")),"✓","")</f>
        <v>✓</v>
      </c>
      <c r="C121" s="216" t="s">
        <v>183</v>
      </c>
      <c r="E121" s="295" t="s">
        <v>382</v>
      </c>
      <c r="F121" s="393" t="s">
        <v>383</v>
      </c>
      <c r="G121" s="394"/>
      <c r="I121" s="295" t="s">
        <v>1098</v>
      </c>
      <c r="J121" s="244" t="s">
        <v>716</v>
      </c>
      <c r="K121" s="321" t="s">
        <v>616</v>
      </c>
    </row>
    <row r="122" spans="2:11" ht="15" customHeight="1">
      <c r="E122" s="295" t="s">
        <v>137</v>
      </c>
      <c r="F122" s="393" t="s">
        <v>1338</v>
      </c>
      <c r="G122" s="394"/>
      <c r="I122" s="295" t="s">
        <v>1099</v>
      </c>
      <c r="J122" s="244" t="s">
        <v>717</v>
      </c>
      <c r="K122" s="321" t="s">
        <v>617</v>
      </c>
    </row>
    <row r="123" spans="2:11" ht="15" customHeight="1">
      <c r="I123" s="295" t="s">
        <v>1100</v>
      </c>
      <c r="J123" s="244" t="s">
        <v>718</v>
      </c>
      <c r="K123" s="321" t="s">
        <v>618</v>
      </c>
    </row>
    <row r="124" spans="2:11" ht="15" customHeight="1">
      <c r="I124" s="295" t="s">
        <v>1101</v>
      </c>
      <c r="J124" s="244" t="s">
        <v>719</v>
      </c>
      <c r="K124" s="321" t="s">
        <v>619</v>
      </c>
    </row>
    <row r="125" spans="2:11" ht="15" customHeight="1">
      <c r="I125" s="290" t="s">
        <v>88</v>
      </c>
      <c r="J125" s="291" t="s">
        <v>17</v>
      </c>
      <c r="K125" s="291" t="s">
        <v>470</v>
      </c>
    </row>
    <row r="126" spans="2:11" ht="15" customHeight="1">
      <c r="I126" s="295" t="s">
        <v>1090</v>
      </c>
      <c r="J126" s="244" t="s">
        <v>1007</v>
      </c>
      <c r="K126" s="321" t="s">
        <v>620</v>
      </c>
    </row>
    <row r="127" spans="2:11" ht="15" customHeight="1">
      <c r="I127" s="295" t="s">
        <v>1091</v>
      </c>
      <c r="J127" s="244" t="s">
        <v>1039</v>
      </c>
      <c r="K127" s="321" t="s">
        <v>621</v>
      </c>
    </row>
    <row r="128" spans="2:11" ht="15" customHeight="1">
      <c r="I128" s="295" t="s">
        <v>1092</v>
      </c>
      <c r="J128" s="244" t="s">
        <v>1040</v>
      </c>
      <c r="K128" s="321" t="s">
        <v>622</v>
      </c>
    </row>
    <row r="129" spans="2:11" ht="15" customHeight="1">
      <c r="I129" s="295" t="s">
        <v>1105</v>
      </c>
      <c r="J129" s="393" t="s">
        <v>1007</v>
      </c>
      <c r="K129" s="393"/>
    </row>
    <row r="130" spans="2:11" ht="15" customHeight="1">
      <c r="I130" s="295" t="s">
        <v>1104</v>
      </c>
      <c r="J130" s="393" t="s">
        <v>623</v>
      </c>
      <c r="K130" s="393"/>
    </row>
    <row r="131" spans="2:11" ht="15" customHeight="1">
      <c r="I131" s="295" t="s">
        <v>1106</v>
      </c>
      <c r="J131" s="393" t="s">
        <v>15</v>
      </c>
      <c r="K131" s="394"/>
    </row>
    <row r="132" spans="2:11" ht="15" customHeight="1">
      <c r="I132" s="295" t="s">
        <v>1006</v>
      </c>
      <c r="J132" s="406" t="s">
        <v>15</v>
      </c>
      <c r="K132" s="444"/>
    </row>
    <row r="133" spans="2:11" ht="15" customHeight="1">
      <c r="I133" s="295" t="s">
        <v>453</v>
      </c>
      <c r="J133" s="244" t="s">
        <v>26</v>
      </c>
      <c r="K133" s="244" t="s">
        <v>15</v>
      </c>
    </row>
    <row r="134" spans="2:11" ht="15" customHeight="1">
      <c r="I134" s="295" t="s">
        <v>1107</v>
      </c>
      <c r="J134" s="393" t="s">
        <v>597</v>
      </c>
      <c r="K134" s="394"/>
    </row>
    <row r="135" spans="2:11" ht="15" customHeight="1">
      <c r="I135" s="295" t="s">
        <v>457</v>
      </c>
      <c r="J135" s="386" t="str">
        <f>J23&amp;"-w01cl-vra01"</f>
        <v>sfo01-w01cl-vra01</v>
      </c>
      <c r="K135" s="387"/>
    </row>
    <row r="136" spans="2:11" ht="15" customHeight="1">
      <c r="I136" s="295" t="s">
        <v>458</v>
      </c>
      <c r="J136" s="393" t="s">
        <v>15</v>
      </c>
      <c r="K136" s="394"/>
    </row>
    <row r="137" spans="2:11" ht="15" customHeight="1"/>
    <row r="138" spans="2:11" ht="20" customHeight="1">
      <c r="B138" s="288" t="s">
        <v>252</v>
      </c>
      <c r="C138" s="289"/>
      <c r="E138" s="290" t="s">
        <v>312</v>
      </c>
      <c r="F138" s="291" t="s">
        <v>17</v>
      </c>
      <c r="G138" s="291" t="s">
        <v>1</v>
      </c>
      <c r="I138" s="301" t="s">
        <v>443</v>
      </c>
      <c r="J138" s="302"/>
      <c r="K138" s="302"/>
    </row>
    <row r="139" spans="2:11" ht="15" customHeight="1">
      <c r="B139" s="294" t="str">
        <f>IF((AND(F139&lt;&gt;"")),"✓","")</f>
        <v>✓</v>
      </c>
      <c r="C139" s="216" t="s">
        <v>415</v>
      </c>
      <c r="E139" s="295" t="s">
        <v>1111</v>
      </c>
      <c r="F139" s="242" t="str">
        <f>J22&amp;"vrbc01"</f>
        <v>lax01vrbc01</v>
      </c>
      <c r="G139" s="320" t="s">
        <v>1307</v>
      </c>
      <c r="I139" s="290" t="s">
        <v>445</v>
      </c>
      <c r="J139" s="392" t="s">
        <v>32</v>
      </c>
      <c r="K139" s="368"/>
    </row>
    <row r="140" spans="2:11" ht="15" customHeight="1">
      <c r="B140" s="296" t="str">
        <f>IF((AND(G139&lt;&gt;"")),"✓","")</f>
        <v>✓</v>
      </c>
      <c r="C140" s="216" t="s">
        <v>414</v>
      </c>
      <c r="I140" s="295" t="s">
        <v>1110</v>
      </c>
      <c r="J140" s="393" t="s">
        <v>1027</v>
      </c>
      <c r="K140" s="394"/>
    </row>
    <row r="141" spans="2:11" ht="15" customHeight="1">
      <c r="B141" s="294" t="str">
        <f>IF('Prerequisite Checklist'!B11="Verified","✓","")</f>
        <v/>
      </c>
      <c r="C141" s="216" t="s">
        <v>230</v>
      </c>
      <c r="E141" s="314"/>
      <c r="F141" s="315"/>
      <c r="G141" s="315"/>
      <c r="I141" s="295" t="s">
        <v>1109</v>
      </c>
      <c r="J141" s="445" t="s">
        <v>624</v>
      </c>
      <c r="K141" s="394"/>
    </row>
    <row r="142" spans="2:11" ht="15" customHeight="1">
      <c r="I142" s="295" t="s">
        <v>1108</v>
      </c>
      <c r="J142" s="405" t="s">
        <v>977</v>
      </c>
      <c r="K142" s="437"/>
    </row>
    <row r="143" spans="2:11" ht="15" customHeight="1"/>
    <row r="144" spans="2:11" ht="20" customHeight="1">
      <c r="B144" s="288" t="s">
        <v>5</v>
      </c>
      <c r="C144" s="289"/>
      <c r="E144" s="290" t="s">
        <v>1117</v>
      </c>
      <c r="F144" s="291" t="s">
        <v>17</v>
      </c>
      <c r="G144" s="291" t="s">
        <v>1</v>
      </c>
      <c r="I144" s="301" t="s">
        <v>443</v>
      </c>
      <c r="J144" s="302"/>
      <c r="K144" s="302"/>
    </row>
    <row r="145" spans="2:11" ht="15" customHeight="1">
      <c r="B145" s="296" t="str">
        <f>IF((AND(F145&lt;&gt;"",F146&lt;&gt;"")),"✓","")</f>
        <v>✓</v>
      </c>
      <c r="C145" s="216" t="s">
        <v>167</v>
      </c>
      <c r="E145" s="295" t="s">
        <v>1093</v>
      </c>
      <c r="F145" s="242" t="str">
        <f>J22&amp;"vropsc01a"</f>
        <v>lax01vropsc01a</v>
      </c>
      <c r="G145" s="320" t="s">
        <v>1302</v>
      </c>
      <c r="H145" s="316"/>
      <c r="I145" s="290" t="s">
        <v>1112</v>
      </c>
      <c r="J145" s="392" t="s">
        <v>1</v>
      </c>
      <c r="K145" s="368"/>
    </row>
    <row r="146" spans="2:11" ht="15" customHeight="1">
      <c r="B146" s="296" t="str">
        <f>IF((AND(G145&lt;&gt;"",G146&lt;&gt;"")),"✓","")</f>
        <v>✓</v>
      </c>
      <c r="C146" s="216" t="s">
        <v>168</v>
      </c>
      <c r="E146" s="295" t="s">
        <v>1094</v>
      </c>
      <c r="F146" s="242" t="str">
        <f>J22&amp;"vropsc01b"</f>
        <v>lax01vropsc01b</v>
      </c>
      <c r="G146" s="320" t="s">
        <v>1303</v>
      </c>
      <c r="H146" s="316"/>
      <c r="I146" s="295" t="s">
        <v>1113</v>
      </c>
      <c r="J146" s="244" t="s">
        <v>721</v>
      </c>
      <c r="K146" s="321" t="s">
        <v>625</v>
      </c>
    </row>
    <row r="147" spans="2:11" ht="15" customHeight="1">
      <c r="B147" s="294" t="str">
        <f>IF('Prerequisite Checklist'!B10="Verified","✓","")</f>
        <v/>
      </c>
      <c r="C147" s="216" t="s">
        <v>230</v>
      </c>
      <c r="H147" s="316"/>
      <c r="I147" s="295" t="s">
        <v>1114</v>
      </c>
      <c r="J147" s="244" t="s">
        <v>722</v>
      </c>
      <c r="K147" s="321" t="s">
        <v>626</v>
      </c>
    </row>
    <row r="148" spans="2:11" ht="15" customHeight="1">
      <c r="H148" s="316"/>
      <c r="I148" s="295" t="s">
        <v>1115</v>
      </c>
      <c r="J148" s="244" t="s">
        <v>723</v>
      </c>
      <c r="K148" s="321" t="s">
        <v>627</v>
      </c>
    </row>
    <row r="149" spans="2:11" ht="15" customHeight="1">
      <c r="H149" s="316"/>
      <c r="I149" s="295" t="s">
        <v>1116</v>
      </c>
      <c r="J149" s="244" t="s">
        <v>724</v>
      </c>
      <c r="K149" s="321" t="s">
        <v>628</v>
      </c>
    </row>
    <row r="150" spans="2:11" ht="15" customHeight="1">
      <c r="H150" s="316"/>
    </row>
    <row r="151" spans="2:11" ht="20" customHeight="1">
      <c r="B151" s="288" t="s">
        <v>31</v>
      </c>
      <c r="C151" s="289"/>
      <c r="E151" s="290" t="s">
        <v>2</v>
      </c>
      <c r="F151" s="291" t="s">
        <v>17</v>
      </c>
      <c r="G151" s="291" t="s">
        <v>1</v>
      </c>
      <c r="I151" s="290" t="s">
        <v>311</v>
      </c>
      <c r="J151" s="392" t="s">
        <v>32</v>
      </c>
      <c r="K151" s="368"/>
    </row>
    <row r="152" spans="2:11" ht="15" customHeight="1">
      <c r="B152" s="296" t="str">
        <f>IF((AND(F152&lt;&gt;"",F154&lt;&gt;"",F155&lt;&gt;"")),"✓","")</f>
        <v>✓</v>
      </c>
      <c r="C152" s="216" t="s">
        <v>160</v>
      </c>
      <c r="E152" s="295" t="s">
        <v>92</v>
      </c>
      <c r="F152" s="242" t="str">
        <f>J22&amp;"vrli01"</f>
        <v>lax01vrli01</v>
      </c>
      <c r="G152" s="320" t="s">
        <v>410</v>
      </c>
      <c r="I152" s="295" t="s">
        <v>283</v>
      </c>
      <c r="J152" s="393" t="s">
        <v>1326</v>
      </c>
      <c r="K152" s="394"/>
    </row>
    <row r="153" spans="2:11" ht="15" customHeight="1">
      <c r="B153" s="296" t="str">
        <f>IF((AND(G152&lt;&gt;"",G153&lt;&gt;"",G154&lt;&gt;"",G155&lt;&gt;"")),"✓","")</f>
        <v>✓</v>
      </c>
      <c r="C153" s="216" t="s">
        <v>161</v>
      </c>
      <c r="E153" s="295" t="s">
        <v>91</v>
      </c>
      <c r="F153" s="242" t="str">
        <f>J22&amp;"vrli01a"</f>
        <v>lax01vrli01a</v>
      </c>
      <c r="G153" s="320" t="s">
        <v>411</v>
      </c>
      <c r="I153" s="295" t="s">
        <v>284</v>
      </c>
      <c r="J153" s="393" t="s">
        <v>1327</v>
      </c>
      <c r="K153" s="394"/>
    </row>
    <row r="154" spans="2:11" ht="15" customHeight="1">
      <c r="B154" s="296" t="str">
        <f>IF((G152&lt;&gt;""),"✓","")</f>
        <v>✓</v>
      </c>
      <c r="C154" s="216" t="s">
        <v>87</v>
      </c>
      <c r="E154" s="295" t="s">
        <v>86</v>
      </c>
      <c r="F154" s="242" t="str">
        <f>J22&amp;"vrli01b"</f>
        <v>lax01vrli01b</v>
      </c>
      <c r="G154" s="320" t="s">
        <v>412</v>
      </c>
      <c r="I154" s="317" t="s">
        <v>582</v>
      </c>
      <c r="J154" s="449" t="s">
        <v>32</v>
      </c>
      <c r="K154" s="450"/>
    </row>
    <row r="155" spans="2:11" ht="15" customHeight="1">
      <c r="B155" s="294" t="str">
        <f>IF('Prerequisite Checklist'!B10="Verified","✓","")</f>
        <v/>
      </c>
      <c r="C155" s="216" t="s">
        <v>166</v>
      </c>
      <c r="E155" s="295" t="s">
        <v>90</v>
      </c>
      <c r="F155" s="242" t="str">
        <f>J22&amp;"vrli01c"</f>
        <v>lax01vrli01c</v>
      </c>
      <c r="G155" s="320" t="s">
        <v>413</v>
      </c>
      <c r="I155" s="318" t="s">
        <v>1191</v>
      </c>
      <c r="J155" s="451" t="s">
        <v>1041</v>
      </c>
      <c r="K155" s="452"/>
    </row>
    <row r="156" spans="2:11" ht="15" customHeight="1">
      <c r="B156" s="296" t="str">
        <f>IF((AND(F160&lt;&gt;"",F161&lt;&gt;"",F162&lt;&gt;"")),"✓","")</f>
        <v>✓</v>
      </c>
      <c r="C156" s="216" t="s">
        <v>169</v>
      </c>
    </row>
    <row r="157" spans="2:11" ht="15" customHeight="1">
      <c r="E157" s="290" t="s">
        <v>232</v>
      </c>
      <c r="F157" s="392" t="s">
        <v>32</v>
      </c>
      <c r="G157" s="368"/>
      <c r="I157" s="301" t="s">
        <v>443</v>
      </c>
      <c r="J157" s="302"/>
      <c r="K157" s="302"/>
    </row>
    <row r="158" spans="2:11" ht="15" customHeight="1">
      <c r="E158" s="295" t="s">
        <v>314</v>
      </c>
      <c r="F158" s="387" t="str">
        <f>F17</f>
        <v>smtp.rainpole.local</v>
      </c>
      <c r="G158" s="387"/>
      <c r="I158" s="290" t="s">
        <v>1194</v>
      </c>
      <c r="J158" s="392" t="s">
        <v>32</v>
      </c>
      <c r="K158" s="368"/>
    </row>
    <row r="159" spans="2:11" ht="15" customHeight="1">
      <c r="E159" s="295" t="s">
        <v>315</v>
      </c>
      <c r="F159" s="433">
        <f>F18</f>
        <v>25</v>
      </c>
      <c r="G159" s="434"/>
      <c r="I159" s="295" t="s">
        <v>569</v>
      </c>
      <c r="J159" s="433" t="str">
        <f>J23</f>
        <v>sfo01</v>
      </c>
      <c r="K159" s="434"/>
    </row>
    <row r="160" spans="2:11" ht="15" customHeight="1">
      <c r="E160" s="295" t="s">
        <v>316</v>
      </c>
      <c r="F160" s="404" t="s">
        <v>598</v>
      </c>
      <c r="G160" s="404"/>
      <c r="I160" s="295" t="s">
        <v>417</v>
      </c>
      <c r="J160" s="465" t="str">
        <f>G107</f>
        <v>192.168.31.0/24</v>
      </c>
      <c r="K160" s="466"/>
    </row>
    <row r="161" spans="2:11" ht="15" customHeight="1">
      <c r="E161" s="295" t="s">
        <v>317</v>
      </c>
      <c r="F161" s="431" t="s">
        <v>179</v>
      </c>
      <c r="G161" s="438"/>
      <c r="I161" s="295" t="s">
        <v>416</v>
      </c>
      <c r="J161" s="431" t="s">
        <v>630</v>
      </c>
      <c r="K161" s="432"/>
    </row>
    <row r="162" spans="2:11" ht="15" customHeight="1">
      <c r="E162" s="295" t="s">
        <v>318</v>
      </c>
      <c r="F162" s="431" t="s">
        <v>189</v>
      </c>
      <c r="G162" s="438"/>
      <c r="I162" s="295" t="s">
        <v>998</v>
      </c>
      <c r="J162" s="431" t="s">
        <v>1000</v>
      </c>
      <c r="K162" s="432"/>
    </row>
    <row r="163" spans="2:11" ht="15" customHeight="1">
      <c r="E163" s="295" t="s">
        <v>324</v>
      </c>
      <c r="F163" s="404" t="s">
        <v>599</v>
      </c>
      <c r="G163" s="404"/>
      <c r="I163" s="295" t="s">
        <v>999</v>
      </c>
      <c r="J163" s="431" t="s">
        <v>1001</v>
      </c>
      <c r="K163" s="432"/>
    </row>
    <row r="164" spans="2:11" ht="15" customHeight="1">
      <c r="E164" s="295" t="s">
        <v>325</v>
      </c>
      <c r="F164" s="404" t="s">
        <v>1055</v>
      </c>
      <c r="G164" s="404"/>
      <c r="I164" s="295" t="s">
        <v>998</v>
      </c>
      <c r="J164" s="431" t="s">
        <v>1002</v>
      </c>
      <c r="K164" s="432"/>
    </row>
    <row r="165" spans="2:11" ht="15" customHeight="1">
      <c r="E165" s="295" t="s">
        <v>323</v>
      </c>
      <c r="F165" s="431" t="s">
        <v>189</v>
      </c>
      <c r="G165" s="438"/>
      <c r="I165" s="295" t="s">
        <v>1005</v>
      </c>
      <c r="J165" s="431" t="s">
        <v>15</v>
      </c>
      <c r="K165" s="432"/>
    </row>
    <row r="166" spans="2:11" ht="15" customHeight="1">
      <c r="E166" s="290" t="s">
        <v>319</v>
      </c>
      <c r="F166" s="392" t="s">
        <v>32</v>
      </c>
      <c r="G166" s="368"/>
      <c r="I166" s="295" t="s">
        <v>1003</v>
      </c>
      <c r="J166" s="431" t="s">
        <v>15</v>
      </c>
      <c r="K166" s="432"/>
    </row>
    <row r="167" spans="2:11" ht="15" customHeight="1">
      <c r="E167" s="295" t="s">
        <v>320</v>
      </c>
      <c r="F167" s="435" t="s">
        <v>189</v>
      </c>
      <c r="G167" s="401"/>
      <c r="I167" s="295" t="s">
        <v>570</v>
      </c>
      <c r="J167" s="447" t="str">
        <f>J22</f>
        <v>lax01</v>
      </c>
      <c r="K167" s="448"/>
    </row>
    <row r="168" spans="2:11" ht="15" customHeight="1">
      <c r="E168" s="295" t="s">
        <v>321</v>
      </c>
      <c r="F168" s="431" t="s">
        <v>10</v>
      </c>
      <c r="G168" s="432"/>
    </row>
    <row r="169" spans="2:11" ht="15" customHeight="1">
      <c r="E169" s="295" t="s">
        <v>322</v>
      </c>
      <c r="F169" s="431" t="s">
        <v>10</v>
      </c>
      <c r="G169" s="432"/>
    </row>
    <row r="170" spans="2:11" ht="15" customHeight="1"/>
    <row r="171" spans="2:11" ht="15" customHeight="1">
      <c r="B171" s="288" t="s">
        <v>1119</v>
      </c>
      <c r="C171" s="289"/>
      <c r="E171" s="290" t="s">
        <v>1120</v>
      </c>
      <c r="F171" s="291" t="s">
        <v>17</v>
      </c>
      <c r="G171" s="291" t="s">
        <v>1</v>
      </c>
    </row>
    <row r="172" spans="2:11" ht="15" customHeight="1">
      <c r="B172" s="296" t="str">
        <f>IF((AND(F172&lt;&gt;"",G172&lt;&gt;"")),"✓","")</f>
        <v>✓</v>
      </c>
      <c r="C172" s="216" t="s">
        <v>1122</v>
      </c>
      <c r="E172" s="295" t="s">
        <v>1121</v>
      </c>
      <c r="F172" s="242" t="str">
        <f>J22&amp;"umds01"</f>
        <v>lax01umds01</v>
      </c>
      <c r="G172" s="243" t="s">
        <v>1304</v>
      </c>
    </row>
    <row r="173" spans="2:11" ht="15" customHeight="1"/>
    <row r="174" spans="2:11" ht="20" customHeight="1">
      <c r="B174" s="288" t="s">
        <v>369</v>
      </c>
      <c r="C174" s="289"/>
      <c r="E174" s="290" t="s">
        <v>375</v>
      </c>
      <c r="F174" s="291" t="s">
        <v>17</v>
      </c>
      <c r="G174" s="291" t="s">
        <v>1</v>
      </c>
      <c r="I174" s="301" t="s">
        <v>443</v>
      </c>
      <c r="J174" s="302"/>
      <c r="K174" s="302"/>
    </row>
    <row r="175" spans="2:11" ht="15" customHeight="1">
      <c r="B175" s="296" t="str">
        <f>IF((AND(F175&lt;&gt;"",F182&lt;&gt;"")),"✓","")</f>
        <v>✓</v>
      </c>
      <c r="C175" s="216" t="s">
        <v>160</v>
      </c>
      <c r="E175" s="295" t="s">
        <v>517</v>
      </c>
      <c r="F175" s="242" t="str">
        <f>J22&amp;"m01srm01"</f>
        <v>lax01m01srm01</v>
      </c>
      <c r="G175" s="243" t="s">
        <v>1308</v>
      </c>
      <c r="I175" s="290" t="s">
        <v>408</v>
      </c>
      <c r="J175" s="390" t="s">
        <v>1</v>
      </c>
      <c r="K175" s="391"/>
    </row>
    <row r="176" spans="2:11" ht="15" customHeight="1">
      <c r="B176" s="296" t="str">
        <f>IF((AND(G175&lt;&gt;"",G182&lt;&gt;"",G183&lt;&gt;"")),"✓","")</f>
        <v>✓</v>
      </c>
      <c r="C176" s="216" t="s">
        <v>161</v>
      </c>
      <c r="E176" s="295" t="s">
        <v>384</v>
      </c>
      <c r="F176" s="433" t="str">
        <f>"srm_site_"&amp;J22</f>
        <v>srm_site_lax01</v>
      </c>
      <c r="G176" s="434"/>
      <c r="I176" s="295" t="s">
        <v>1050</v>
      </c>
      <c r="J176" s="442" t="s">
        <v>1317</v>
      </c>
      <c r="K176" s="443"/>
    </row>
    <row r="177" spans="2:11" ht="15" customHeight="1">
      <c r="B177" s="296" t="str">
        <f>IF((AND(J180&lt;&gt;"",J181&lt;&gt;"")),"✓","")</f>
        <v>✓</v>
      </c>
      <c r="C177" s="216" t="s">
        <v>444</v>
      </c>
      <c r="E177" s="295" t="s">
        <v>385</v>
      </c>
      <c r="F177" s="431">
        <v>5678</v>
      </c>
      <c r="G177" s="432"/>
      <c r="I177" s="295" t="s">
        <v>1052</v>
      </c>
      <c r="J177" s="431" t="s">
        <v>1318</v>
      </c>
      <c r="K177" s="432"/>
    </row>
    <row r="178" spans="2:11" ht="15" customHeight="1">
      <c r="E178" s="295" t="s">
        <v>537</v>
      </c>
      <c r="F178" s="431" t="s">
        <v>599</v>
      </c>
      <c r="G178" s="432"/>
      <c r="I178" s="295" t="s">
        <v>1053</v>
      </c>
      <c r="J178" s="431" t="s">
        <v>1319</v>
      </c>
      <c r="K178" s="432"/>
    </row>
    <row r="179" spans="2:11" ht="15" customHeight="1">
      <c r="E179" s="295" t="s">
        <v>1044</v>
      </c>
      <c r="F179" s="433" t="str">
        <f>IF('Run Parameters'!F8="false",'Deploy Parameters'!F54,'Deploy Parameters'!F13)</f>
        <v>lax01-m01-nfs01</v>
      </c>
      <c r="G179" s="434"/>
      <c r="I179" s="295" t="s">
        <v>1051</v>
      </c>
      <c r="J179" s="463" t="s">
        <v>1314</v>
      </c>
      <c r="K179" s="464"/>
    </row>
    <row r="180" spans="2:11" ht="15" customHeight="1">
      <c r="I180" s="295" t="s">
        <v>409</v>
      </c>
      <c r="J180" s="463" t="s">
        <v>1315</v>
      </c>
      <c r="K180" s="464"/>
    </row>
    <row r="181" spans="2:11" ht="15" customHeight="1">
      <c r="E181" s="290" t="s">
        <v>376</v>
      </c>
      <c r="F181" s="291" t="s">
        <v>17</v>
      </c>
      <c r="G181" s="291" t="s">
        <v>1</v>
      </c>
      <c r="I181" s="295" t="s">
        <v>1049</v>
      </c>
      <c r="J181" s="463" t="s">
        <v>1316</v>
      </c>
      <c r="K181" s="464"/>
    </row>
    <row r="182" spans="2:11" ht="15" customHeight="1">
      <c r="E182" s="295" t="s">
        <v>377</v>
      </c>
      <c r="F182" s="242" t="str">
        <f>J22&amp;"m01vrms01"</f>
        <v>lax01m01vrms01</v>
      </c>
      <c r="G182" s="243" t="s">
        <v>1309</v>
      </c>
      <c r="I182" s="295" t="s">
        <v>1207</v>
      </c>
      <c r="J182" s="453" t="str">
        <f>J23&amp;"-m01fd-mgmt"</f>
        <v>sfo01-m01fd-mgmt</v>
      </c>
      <c r="K182" s="421"/>
    </row>
    <row r="183" spans="2:11" ht="15" customHeight="1">
      <c r="E183" s="295" t="s">
        <v>379</v>
      </c>
      <c r="F183" s="89"/>
      <c r="G183" s="323" t="s">
        <v>1320</v>
      </c>
      <c r="I183" s="295" t="s">
        <v>549</v>
      </c>
      <c r="J183" s="453" t="str">
        <f>J23&amp;"-m01fd-vra"</f>
        <v>sfo01-m01fd-vra</v>
      </c>
      <c r="K183" s="421"/>
    </row>
    <row r="184" spans="2:11" ht="15" customHeight="1">
      <c r="I184" s="295" t="s">
        <v>550</v>
      </c>
      <c r="J184" s="453" t="str">
        <f>J23&amp;"-m01fd-vrops"</f>
        <v>sfo01-m01fd-vrops</v>
      </c>
      <c r="K184" s="421"/>
    </row>
    <row r="185" spans="2:11" ht="15" customHeight="1">
      <c r="I185" s="295" t="s">
        <v>559</v>
      </c>
      <c r="J185" s="446" t="s">
        <v>15</v>
      </c>
      <c r="K185" s="407"/>
    </row>
    <row r="186" spans="2:11" ht="15" customHeight="1">
      <c r="I186" s="295" t="s">
        <v>562</v>
      </c>
      <c r="J186" s="446" t="s">
        <v>1310</v>
      </c>
      <c r="K186" s="407"/>
    </row>
    <row r="187" spans="2:11" ht="15" customHeight="1">
      <c r="I187" s="295" t="s">
        <v>563</v>
      </c>
      <c r="J187" s="446" t="s">
        <v>1311</v>
      </c>
      <c r="K187" s="407"/>
    </row>
    <row r="188" spans="2:11" ht="15" customHeight="1">
      <c r="I188" s="295" t="s">
        <v>564</v>
      </c>
      <c r="J188" s="446" t="s">
        <v>1312</v>
      </c>
      <c r="K188" s="407"/>
    </row>
    <row r="189" spans="2:11" ht="15" customHeight="1">
      <c r="I189" s="295" t="s">
        <v>565</v>
      </c>
      <c r="J189" s="446" t="s">
        <v>1313</v>
      </c>
      <c r="K189" s="407"/>
    </row>
    <row r="190" spans="2:11" ht="15" customHeight="1">
      <c r="I190" s="295" t="s">
        <v>1046</v>
      </c>
      <c r="J190" s="431" t="s">
        <v>1047</v>
      </c>
      <c r="K190" s="438"/>
    </row>
    <row r="191" spans="2:11" ht="15" customHeight="1"/>
    <row r="192" spans="2:11" ht="20" customHeight="1">
      <c r="B192" s="288" t="s">
        <v>201</v>
      </c>
      <c r="C192" s="289"/>
      <c r="E192" s="290" t="s">
        <v>202</v>
      </c>
      <c r="F192" s="392" t="s">
        <v>32</v>
      </c>
      <c r="G192" s="439"/>
      <c r="I192" s="454" t="s">
        <v>1195</v>
      </c>
      <c r="J192" s="455"/>
      <c r="K192" s="456"/>
    </row>
    <row r="193" spans="2:11" ht="15" customHeight="1">
      <c r="B193" s="294" t="str">
        <f>IF('Prerequisite Checklist'!B18="Verified","✓","")</f>
        <v/>
      </c>
      <c r="C193" s="216" t="s">
        <v>215</v>
      </c>
      <c r="E193" s="295" t="s">
        <v>676</v>
      </c>
      <c r="F193" s="406" t="s">
        <v>15</v>
      </c>
      <c r="G193" s="467"/>
      <c r="I193" s="457"/>
      <c r="J193" s="458"/>
      <c r="K193" s="459"/>
    </row>
    <row r="194" spans="2:11" ht="15" customHeight="1">
      <c r="I194" s="460"/>
      <c r="J194" s="461"/>
      <c r="K194" s="462"/>
    </row>
    <row r="195" spans="2:11" ht="15" customHeight="1"/>
    <row r="196" spans="2:11" ht="15" customHeight="1"/>
    <row r="197" spans="2:11" ht="15" customHeight="1"/>
    <row r="198" spans="2:11" ht="15" customHeight="1"/>
    <row r="199" spans="2:11" ht="15" customHeight="1"/>
    <row r="200" spans="2:11" ht="15" customHeight="1"/>
    <row r="201" spans="2:11" ht="15" customHeight="1"/>
    <row r="202" spans="2:11" ht="15" customHeight="1"/>
    <row r="203" spans="2:11" ht="15" customHeight="1"/>
    <row r="204" spans="2:11" ht="15" customHeight="1"/>
    <row r="205" spans="2:11" ht="15" customHeight="1"/>
    <row r="206" spans="2:11" ht="15" customHeight="1"/>
    <row r="207" spans="2:11" ht="15" customHeight="1"/>
    <row r="208" spans="2:11"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sheetData>
  <sheetProtection sheet="1" objects="1" scenarios="1"/>
  <mergeCells count="203">
    <mergeCell ref="J182:K182"/>
    <mergeCell ref="F179:G179"/>
    <mergeCell ref="J190:K190"/>
    <mergeCell ref="J129:K129"/>
    <mergeCell ref="I192:K194"/>
    <mergeCell ref="J181:K181"/>
    <mergeCell ref="J188:K188"/>
    <mergeCell ref="J159:K159"/>
    <mergeCell ref="J161:K161"/>
    <mergeCell ref="J160:K160"/>
    <mergeCell ref="J175:K175"/>
    <mergeCell ref="J177:K177"/>
    <mergeCell ref="J178:K178"/>
    <mergeCell ref="J183:K183"/>
    <mergeCell ref="J184:K184"/>
    <mergeCell ref="J185:K185"/>
    <mergeCell ref="J179:K179"/>
    <mergeCell ref="J186:K186"/>
    <mergeCell ref="J187:K187"/>
    <mergeCell ref="J180:K180"/>
    <mergeCell ref="J163:K163"/>
    <mergeCell ref="J164:K164"/>
    <mergeCell ref="J140:K140"/>
    <mergeCell ref="F193:G193"/>
    <mergeCell ref="J136:K136"/>
    <mergeCell ref="F165:G165"/>
    <mergeCell ref="F157:G157"/>
    <mergeCell ref="F164:G164"/>
    <mergeCell ref="F163:G163"/>
    <mergeCell ref="J152:K152"/>
    <mergeCell ref="J153:K153"/>
    <mergeCell ref="J158:K158"/>
    <mergeCell ref="J134:K134"/>
    <mergeCell ref="F161:G161"/>
    <mergeCell ref="J155:K155"/>
    <mergeCell ref="J145:K145"/>
    <mergeCell ref="F192:G192"/>
    <mergeCell ref="F178:G178"/>
    <mergeCell ref="J93:K93"/>
    <mergeCell ref="J90:K90"/>
    <mergeCell ref="J96:K96"/>
    <mergeCell ref="F118:G118"/>
    <mergeCell ref="F105:G105"/>
    <mergeCell ref="F104:G104"/>
    <mergeCell ref="F122:G122"/>
    <mergeCell ref="F92:G92"/>
    <mergeCell ref="J91:K91"/>
    <mergeCell ref="J176:K176"/>
    <mergeCell ref="J108:K108"/>
    <mergeCell ref="J105:K105"/>
    <mergeCell ref="J132:K132"/>
    <mergeCell ref="J165:K165"/>
    <mergeCell ref="J162:K162"/>
    <mergeCell ref="J166:K166"/>
    <mergeCell ref="F168:G168"/>
    <mergeCell ref="F169:G169"/>
    <mergeCell ref="J141:K141"/>
    <mergeCell ref="J189:K189"/>
    <mergeCell ref="J167:K167"/>
    <mergeCell ref="J154:K154"/>
    <mergeCell ref="F177:G177"/>
    <mergeCell ref="F176:G176"/>
    <mergeCell ref="J131:K131"/>
    <mergeCell ref="F91:G91"/>
    <mergeCell ref="F97:G97"/>
    <mergeCell ref="F158:G158"/>
    <mergeCell ref="F159:G159"/>
    <mergeCell ref="F167:G167"/>
    <mergeCell ref="F160:G160"/>
    <mergeCell ref="J151:K151"/>
    <mergeCell ref="J130:K130"/>
    <mergeCell ref="F93:G93"/>
    <mergeCell ref="F117:G117"/>
    <mergeCell ref="F98:G98"/>
    <mergeCell ref="F96:G96"/>
    <mergeCell ref="F95:G95"/>
    <mergeCell ref="F101:G101"/>
    <mergeCell ref="J135:K135"/>
    <mergeCell ref="J142:K142"/>
    <mergeCell ref="F162:G162"/>
    <mergeCell ref="J139:K139"/>
    <mergeCell ref="F120:G120"/>
    <mergeCell ref="F121:G121"/>
    <mergeCell ref="F166:G166"/>
    <mergeCell ref="F88:G88"/>
    <mergeCell ref="F89:G89"/>
    <mergeCell ref="F94:G94"/>
    <mergeCell ref="F119:G119"/>
    <mergeCell ref="J104:K104"/>
    <mergeCell ref="J81:K81"/>
    <mergeCell ref="J80:K80"/>
    <mergeCell ref="J82:K82"/>
    <mergeCell ref="J86:K86"/>
    <mergeCell ref="J87:K87"/>
    <mergeCell ref="F86:G86"/>
    <mergeCell ref="F87:G87"/>
    <mergeCell ref="J102:K102"/>
    <mergeCell ref="J98:K98"/>
    <mergeCell ref="J99:K99"/>
    <mergeCell ref="J97:K97"/>
    <mergeCell ref="J101:K101"/>
    <mergeCell ref="F100:G100"/>
    <mergeCell ref="J103:K103"/>
    <mergeCell ref="J115:K115"/>
    <mergeCell ref="J45:K45"/>
    <mergeCell ref="F49:G49"/>
    <mergeCell ref="F46:G46"/>
    <mergeCell ref="F62:G62"/>
    <mergeCell ref="F63:G63"/>
    <mergeCell ref="F65:G65"/>
    <mergeCell ref="F66:G66"/>
    <mergeCell ref="J64:K64"/>
    <mergeCell ref="J85:K85"/>
    <mergeCell ref="F80:G80"/>
    <mergeCell ref="F85:G85"/>
    <mergeCell ref="F82:G82"/>
    <mergeCell ref="F84:G84"/>
    <mergeCell ref="F83:G83"/>
    <mergeCell ref="F81:G81"/>
    <mergeCell ref="F59:F60"/>
    <mergeCell ref="J59:J60"/>
    <mergeCell ref="B3:K3"/>
    <mergeCell ref="J9:K9"/>
    <mergeCell ref="J10:K10"/>
    <mergeCell ref="J11:K11"/>
    <mergeCell ref="J12:K12"/>
    <mergeCell ref="J13:K13"/>
    <mergeCell ref="F16:G16"/>
    <mergeCell ref="J14:K14"/>
    <mergeCell ref="J31:K31"/>
    <mergeCell ref="J30:K30"/>
    <mergeCell ref="J15:K15"/>
    <mergeCell ref="F17:G17"/>
    <mergeCell ref="F12:G12"/>
    <mergeCell ref="F13:G13"/>
    <mergeCell ref="F14:G14"/>
    <mergeCell ref="J16:K16"/>
    <mergeCell ref="F18:G18"/>
    <mergeCell ref="J20:K20"/>
    <mergeCell ref="J5:K5"/>
    <mergeCell ref="J6:K6"/>
    <mergeCell ref="F8:G8"/>
    <mergeCell ref="F9:G9"/>
    <mergeCell ref="F10:G10"/>
    <mergeCell ref="F11:G11"/>
    <mergeCell ref="F33:G33"/>
    <mergeCell ref="F70:G70"/>
    <mergeCell ref="F61:G61"/>
    <mergeCell ref="F79:G79"/>
    <mergeCell ref="F43:G43"/>
    <mergeCell ref="F44:G44"/>
    <mergeCell ref="F51:G51"/>
    <mergeCell ref="F99:G99"/>
    <mergeCell ref="F77:G77"/>
    <mergeCell ref="F64:G64"/>
    <mergeCell ref="F36:G36"/>
    <mergeCell ref="F34:G34"/>
    <mergeCell ref="F37:G37"/>
    <mergeCell ref="F38:G38"/>
    <mergeCell ref="F78:G78"/>
    <mergeCell ref="F55:G55"/>
    <mergeCell ref="F39:G39"/>
    <mergeCell ref="F45:G45"/>
    <mergeCell ref="F35:G35"/>
    <mergeCell ref="F53:G53"/>
    <mergeCell ref="F47:G47"/>
    <mergeCell ref="F54:G54"/>
    <mergeCell ref="F90:G90"/>
    <mergeCell ref="F50:G50"/>
    <mergeCell ref="J32:K32"/>
    <mergeCell ref="J34:K34"/>
    <mergeCell ref="J7:K7"/>
    <mergeCell ref="J23:K23"/>
    <mergeCell ref="J22:K22"/>
    <mergeCell ref="J18:K18"/>
    <mergeCell ref="J17:K17"/>
    <mergeCell ref="J19:K19"/>
    <mergeCell ref="J33:K33"/>
    <mergeCell ref="K26:K27"/>
    <mergeCell ref="J38:K38"/>
    <mergeCell ref="J68:K68"/>
    <mergeCell ref="J69:K69"/>
    <mergeCell ref="J106:K106"/>
    <mergeCell ref="J107:K107"/>
    <mergeCell ref="J95:K95"/>
    <mergeCell ref="J88:K88"/>
    <mergeCell ref="J36:K36"/>
    <mergeCell ref="J37:K37"/>
    <mergeCell ref="J77:K77"/>
    <mergeCell ref="J46:K46"/>
    <mergeCell ref="J43:K43"/>
    <mergeCell ref="J100:K100"/>
    <mergeCell ref="J65:K65"/>
    <mergeCell ref="J94:K94"/>
    <mergeCell ref="J84:K84"/>
    <mergeCell ref="J79:K79"/>
    <mergeCell ref="J89:K89"/>
    <mergeCell ref="J92:K92"/>
    <mergeCell ref="J78:K78"/>
    <mergeCell ref="J83:K83"/>
    <mergeCell ref="J66:K66"/>
    <mergeCell ref="J62:K62"/>
    <mergeCell ref="J44:K44"/>
  </mergeCells>
  <conditionalFormatting sqref="B146 B194:B461 B5:B8 B10:B12 B142:B144 B151:B155 B179:B191 B157:B170 B16:B32 B114:B115 B126:B137 B70:B109 B53:B62 B174:B176">
    <cfRule type="cellIs" dxfId="275" priority="414" operator="equal">
      <formula>"✓"</formula>
    </cfRule>
  </conditionalFormatting>
  <conditionalFormatting sqref="B13">
    <cfRule type="cellIs" dxfId="274" priority="411" operator="equal">
      <formula>"✓"</formula>
    </cfRule>
  </conditionalFormatting>
  <conditionalFormatting sqref="B33">
    <cfRule type="cellIs" dxfId="273" priority="408" operator="equal">
      <formula>"✓"</formula>
    </cfRule>
  </conditionalFormatting>
  <conditionalFormatting sqref="B145">
    <cfRule type="cellIs" dxfId="272" priority="406" operator="equal">
      <formula>"✓"</formula>
    </cfRule>
  </conditionalFormatting>
  <conditionalFormatting sqref="B147">
    <cfRule type="cellIs" dxfId="271" priority="402" operator="equal">
      <formula>"✓"</formula>
    </cfRule>
  </conditionalFormatting>
  <conditionalFormatting sqref="B156">
    <cfRule type="cellIs" dxfId="270" priority="398" operator="equal">
      <formula>"✓"</formula>
    </cfRule>
  </conditionalFormatting>
  <conditionalFormatting sqref="B117">
    <cfRule type="cellIs" dxfId="269" priority="397" operator="equal">
      <formula>"✓"</formula>
    </cfRule>
  </conditionalFormatting>
  <conditionalFormatting sqref="B116">
    <cfRule type="cellIs" dxfId="268" priority="396" operator="equal">
      <formula>"✓"</formula>
    </cfRule>
  </conditionalFormatting>
  <conditionalFormatting sqref="B118">
    <cfRule type="cellIs" dxfId="267" priority="395" operator="equal">
      <formula>"✓"</formula>
    </cfRule>
  </conditionalFormatting>
  <conditionalFormatting sqref="B119">
    <cfRule type="cellIs" dxfId="266" priority="394" operator="equal">
      <formula>"✓"</formula>
    </cfRule>
  </conditionalFormatting>
  <conditionalFormatting sqref="B120">
    <cfRule type="cellIs" dxfId="265" priority="392" operator="equal">
      <formula>"✓"</formula>
    </cfRule>
  </conditionalFormatting>
  <conditionalFormatting sqref="B121">
    <cfRule type="cellIs" dxfId="264" priority="388" operator="equal">
      <formula>"✓"</formula>
    </cfRule>
  </conditionalFormatting>
  <conditionalFormatting sqref="B34">
    <cfRule type="cellIs" dxfId="263" priority="386" operator="equal">
      <formula>"✓"</formula>
    </cfRule>
  </conditionalFormatting>
  <conditionalFormatting sqref="B32">
    <cfRule type="cellIs" dxfId="262" priority="385" operator="equal">
      <formula>"✓"</formula>
    </cfRule>
  </conditionalFormatting>
  <conditionalFormatting sqref="B192">
    <cfRule type="cellIs" dxfId="261" priority="382" operator="equal">
      <formula>"✓"</formula>
    </cfRule>
  </conditionalFormatting>
  <conditionalFormatting sqref="B14">
    <cfRule type="cellIs" dxfId="260" priority="378" operator="equal">
      <formula>"✓"</formula>
    </cfRule>
  </conditionalFormatting>
  <conditionalFormatting sqref="B63">
    <cfRule type="cellIs" dxfId="259" priority="377" operator="equal">
      <formula>"✓"</formula>
    </cfRule>
  </conditionalFormatting>
  <conditionalFormatting sqref="B193">
    <cfRule type="cellIs" dxfId="258" priority="376" operator="equal">
      <formula>"✓"</formula>
    </cfRule>
  </conditionalFormatting>
  <conditionalFormatting sqref="B9">
    <cfRule type="cellIs" dxfId="257" priority="369" operator="equal">
      <formula>"✓"</formula>
    </cfRule>
  </conditionalFormatting>
  <conditionalFormatting sqref="G59:G60">
    <cfRule type="expression" dxfId="256" priority="368">
      <formula>$H$59=TRUE</formula>
    </cfRule>
  </conditionalFormatting>
  <conditionalFormatting sqref="K61:K62">
    <cfRule type="expression" dxfId="255" priority="367">
      <formula>$L$61=TRUE</formula>
    </cfRule>
  </conditionalFormatting>
  <conditionalFormatting sqref="B138">
    <cfRule type="cellIs" dxfId="254" priority="364" operator="equal">
      <formula>"✓"</formula>
    </cfRule>
  </conditionalFormatting>
  <conditionalFormatting sqref="B140">
    <cfRule type="cellIs" dxfId="253" priority="361" operator="equal">
      <formula>"✓"</formula>
    </cfRule>
  </conditionalFormatting>
  <conditionalFormatting sqref="B139">
    <cfRule type="cellIs" dxfId="252" priority="362" operator="equal">
      <formula>"✓"</formula>
    </cfRule>
  </conditionalFormatting>
  <conditionalFormatting sqref="B141">
    <cfRule type="cellIs" dxfId="251" priority="360" operator="equal">
      <formula>"✓"</formula>
    </cfRule>
  </conditionalFormatting>
  <conditionalFormatting sqref="B67">
    <cfRule type="cellIs" dxfId="250" priority="359" operator="equal">
      <formula>"✓"</formula>
    </cfRule>
  </conditionalFormatting>
  <conditionalFormatting sqref="B64">
    <cfRule type="cellIs" dxfId="249" priority="358" operator="equal">
      <formula>"✓"</formula>
    </cfRule>
  </conditionalFormatting>
  <conditionalFormatting sqref="B65">
    <cfRule type="cellIs" dxfId="248" priority="356" operator="equal">
      <formula>"✓"</formula>
    </cfRule>
  </conditionalFormatting>
  <conditionalFormatting sqref="B66">
    <cfRule type="cellIs" dxfId="247" priority="355" operator="equal">
      <formula>"✓"</formula>
    </cfRule>
  </conditionalFormatting>
  <conditionalFormatting sqref="G152:G155 J63 G115:G116 G139 G145:G146">
    <cfRule type="duplicateValues" dxfId="246" priority="352"/>
  </conditionalFormatting>
  <conditionalFormatting sqref="F82:G82 F91 F86:G86 F89:G89">
    <cfRule type="duplicateValues" dxfId="245" priority="348"/>
  </conditionalFormatting>
  <conditionalFormatting sqref="F83:G83 F87:G87 F92:G92">
    <cfRule type="duplicateValues" dxfId="244" priority="347"/>
  </conditionalFormatting>
  <conditionalFormatting sqref="J82:K82 J86:K86 J89:K89">
    <cfRule type="duplicateValues" dxfId="243" priority="346"/>
  </conditionalFormatting>
  <conditionalFormatting sqref="J83:K83 J87:K87 J92:K92">
    <cfRule type="duplicateValues" dxfId="242" priority="345"/>
  </conditionalFormatting>
  <conditionalFormatting sqref="F70">
    <cfRule type="expression" dxfId="241" priority="344">
      <formula>LEN($F$70)&lt;12</formula>
    </cfRule>
  </conditionalFormatting>
  <conditionalFormatting sqref="F115">
    <cfRule type="expression" dxfId="240" priority="334">
      <formula>LEN($F$115)&gt;15</formula>
    </cfRule>
  </conditionalFormatting>
  <conditionalFormatting sqref="F116">
    <cfRule type="expression" dxfId="239" priority="333">
      <formula>LEN($F$116)&gt;15</formula>
    </cfRule>
  </conditionalFormatting>
  <conditionalFormatting sqref="J91">
    <cfRule type="duplicateValues" dxfId="238" priority="332"/>
  </conditionalFormatting>
  <conditionalFormatting sqref="F94">
    <cfRule type="duplicateValues" dxfId="237" priority="331"/>
  </conditionalFormatting>
  <conditionalFormatting sqref="J94">
    <cfRule type="duplicateValues" dxfId="236" priority="330"/>
  </conditionalFormatting>
  <conditionalFormatting sqref="F43:G43 F74:G75 J74:K75 F158:G165 J10:K13 F6:G6 F8 J6 J26 J28:J30 J159:K161 J167:K167 G107 J177:K178 F17:G18">
    <cfRule type="containsText" dxfId="235" priority="239" operator="containsText" text="n/a">
      <formula>NOT(ISERROR(SEARCH("n/a",F6)))</formula>
    </cfRule>
    <cfRule type="containsBlanks" dxfId="234" priority="574">
      <formula>LEN(TRIM(F6))=0</formula>
    </cfRule>
  </conditionalFormatting>
  <conditionalFormatting sqref="F97:G100">
    <cfRule type="duplicateValues" dxfId="233" priority="567"/>
  </conditionalFormatting>
  <conditionalFormatting sqref="J98:K100">
    <cfRule type="duplicateValues" dxfId="232" priority="568"/>
  </conditionalFormatting>
  <conditionalFormatting sqref="B178">
    <cfRule type="cellIs" dxfId="231" priority="298" operator="equal">
      <formula>"✓"</formula>
    </cfRule>
  </conditionalFormatting>
  <conditionalFormatting sqref="B177">
    <cfRule type="cellIs" dxfId="230" priority="297" operator="equal">
      <formula>"✓"</formula>
    </cfRule>
  </conditionalFormatting>
  <conditionalFormatting sqref="J97:K97">
    <cfRule type="duplicateValues" dxfId="229" priority="295"/>
  </conditionalFormatting>
  <conditionalFormatting sqref="J141">
    <cfRule type="duplicateValues" dxfId="228" priority="292"/>
  </conditionalFormatting>
  <conditionalFormatting sqref="G183 J15:K16 J180:K181 F13:F14 J186:K189">
    <cfRule type="containsBlanks" dxfId="227" priority="246">
      <formula>LEN(TRIM(F13))=0</formula>
    </cfRule>
  </conditionalFormatting>
  <conditionalFormatting sqref="F44:G46">
    <cfRule type="containsText" dxfId="226" priority="237" operator="containsText" text="n/a">
      <formula>NOT(ISERROR(SEARCH("n/a",F44)))</formula>
    </cfRule>
    <cfRule type="containsBlanks" dxfId="225" priority="238">
      <formula>LEN(TRIM(F44))=0</formula>
    </cfRule>
  </conditionalFormatting>
  <conditionalFormatting sqref="J43:K45">
    <cfRule type="containsText" dxfId="224" priority="235" operator="containsText" text="n/a">
      <formula>NOT(ISERROR(SEARCH("n/a",J43)))</formula>
    </cfRule>
    <cfRule type="containsBlanks" dxfId="223" priority="236">
      <formula>LEN(TRIM(J43))=0</formula>
    </cfRule>
  </conditionalFormatting>
  <conditionalFormatting sqref="F49:G50">
    <cfRule type="containsText" dxfId="222" priority="233" operator="containsText" text="n/a">
      <formula>NOT(ISERROR(SEARCH("n/a",F49)))</formula>
    </cfRule>
    <cfRule type="containsBlanks" dxfId="221" priority="234">
      <formula>LEN(TRIM(F49))=0</formula>
    </cfRule>
  </conditionalFormatting>
  <conditionalFormatting sqref="F48">
    <cfRule type="containsText" dxfId="220" priority="231" operator="containsText" text="n/a">
      <formula>NOT(ISERROR(SEARCH("n/a",F48)))</formula>
    </cfRule>
    <cfRule type="containsBlanks" dxfId="219" priority="232">
      <formula>LEN(TRIM(F48))=0</formula>
    </cfRule>
  </conditionalFormatting>
  <conditionalFormatting sqref="G48">
    <cfRule type="containsText" dxfId="218" priority="227" operator="containsText" text="n/a">
      <formula>NOT(ISERROR(SEARCH("n/a",G48)))</formula>
    </cfRule>
    <cfRule type="containsBlanks" dxfId="217" priority="228">
      <formula>LEN(TRIM(G48))=0</formula>
    </cfRule>
  </conditionalFormatting>
  <conditionalFormatting sqref="G6">
    <cfRule type="duplicateValues" dxfId="216" priority="226"/>
  </conditionalFormatting>
  <conditionalFormatting sqref="J7">
    <cfRule type="containsBlanks" dxfId="215" priority="221">
      <formula>LEN(TRIM(J7))=0</formula>
    </cfRule>
  </conditionalFormatting>
  <conditionalFormatting sqref="F9">
    <cfRule type="containsBlanks" dxfId="214" priority="220">
      <formula>LEN(TRIM(F9))=0</formula>
    </cfRule>
  </conditionalFormatting>
  <conditionalFormatting sqref="F10">
    <cfRule type="containsText" dxfId="213" priority="218" operator="containsText" text="n/a">
      <formula>NOT(ISERROR(SEARCH("n/a",F10)))</formula>
    </cfRule>
    <cfRule type="containsBlanks" dxfId="212" priority="219">
      <formula>LEN(TRIM(F10))=0</formula>
    </cfRule>
  </conditionalFormatting>
  <conditionalFormatting sqref="F11">
    <cfRule type="containsBlanks" dxfId="211" priority="217">
      <formula>LEN(TRIM(F11))=0</formula>
    </cfRule>
  </conditionalFormatting>
  <conditionalFormatting sqref="F35:G35 F38:G38 J31:K31 J33:K33">
    <cfRule type="containsText" dxfId="210" priority="207" operator="containsText" text="n/a">
      <formula>NOT(ISERROR(SEARCH("n/a",F31)))</formula>
    </cfRule>
    <cfRule type="containsBlanks" dxfId="209" priority="208">
      <formula>LEN(TRIM(F31))=0</formula>
    </cfRule>
  </conditionalFormatting>
  <conditionalFormatting sqref="F26">
    <cfRule type="containsText" dxfId="208" priority="202" operator="containsText" text="n/a">
      <formula>NOT(ISERROR(SEARCH("n/a",F26)))</formula>
    </cfRule>
    <cfRule type="containsBlanks" dxfId="207" priority="203">
      <formula>LEN(TRIM(F26))=0</formula>
    </cfRule>
  </conditionalFormatting>
  <conditionalFormatting sqref="F27">
    <cfRule type="containsText" dxfId="206" priority="200" operator="containsText" text="n/a">
      <formula>NOT(ISERROR(SEARCH("n/a",F27)))</formula>
    </cfRule>
    <cfRule type="containsBlanks" dxfId="205" priority="201">
      <formula>LEN(TRIM(F27))=0</formula>
    </cfRule>
  </conditionalFormatting>
  <conditionalFormatting sqref="F29:F31">
    <cfRule type="containsText" dxfId="204" priority="198" operator="containsText" text="n/a">
      <formula>NOT(ISERROR(SEARCH("n/a",F29)))</formula>
    </cfRule>
    <cfRule type="containsBlanks" dxfId="203" priority="199">
      <formula>LEN(TRIM(F29))=0</formula>
    </cfRule>
  </conditionalFormatting>
  <conditionalFormatting sqref="J22:K22 J23">
    <cfRule type="containsText" dxfId="202" priority="195" operator="containsText" text="n/a">
      <formula>NOT(ISERROR(SEARCH("n/a",J22)))</formula>
    </cfRule>
    <cfRule type="containsBlanks" dxfId="201" priority="196">
      <formula>LEN(TRIM(J22))=0</formula>
    </cfRule>
  </conditionalFormatting>
  <conditionalFormatting sqref="G26:G27 G29:G31 G58 K58 G175 G182">
    <cfRule type="containsBlanks" dxfId="200" priority="191">
      <formula>LEN(TRIM(G26))=0</formula>
    </cfRule>
  </conditionalFormatting>
  <conditionalFormatting sqref="G26:G27 G29:G31 G58 K58 G175 G182 J180:K181">
    <cfRule type="containsText" dxfId="199" priority="190" operator="containsText" text="n/a">
      <formula>NOT(ISERROR(SEARCH("n/a",G26)))</formula>
    </cfRule>
  </conditionalFormatting>
  <conditionalFormatting sqref="G182 G26:G27 G29:G31 G58 K58 G175">
    <cfRule type="duplicateValues" dxfId="198" priority="189"/>
  </conditionalFormatting>
  <conditionalFormatting sqref="F74:G75 J74:K75">
    <cfRule type="duplicateValues" dxfId="197" priority="628"/>
  </conditionalFormatting>
  <conditionalFormatting sqref="K59:K60">
    <cfRule type="expression" dxfId="196" priority="188">
      <formula>$H$42=TRUE</formula>
    </cfRule>
  </conditionalFormatting>
  <conditionalFormatting sqref="K59">
    <cfRule type="containsBlanks" dxfId="195" priority="186">
      <formula>LEN(TRIM(K59))=0</formula>
    </cfRule>
  </conditionalFormatting>
  <conditionalFormatting sqref="K60">
    <cfRule type="containsBlanks" dxfId="194" priority="184">
      <formula>LEN(TRIM(K60))=0</formula>
    </cfRule>
  </conditionalFormatting>
  <conditionalFormatting sqref="F69">
    <cfRule type="containsText" dxfId="193" priority="178" operator="containsText" text="n/a">
      <formula>NOT(ISERROR(SEARCH("n/a",F69)))</formula>
    </cfRule>
    <cfRule type="containsBlanks" dxfId="192" priority="179">
      <formula>LEN(TRIM(F69))=0</formula>
    </cfRule>
  </conditionalFormatting>
  <conditionalFormatting sqref="F78:G78">
    <cfRule type="containsText" dxfId="191" priority="176" operator="containsText" text="n/a">
      <formula>NOT(ISERROR(SEARCH("n/a",F78)))</formula>
    </cfRule>
    <cfRule type="containsBlanks" dxfId="190" priority="177">
      <formula>LEN(TRIM(F78))=0</formula>
    </cfRule>
  </conditionalFormatting>
  <conditionalFormatting sqref="J78:K78">
    <cfRule type="containsText" dxfId="189" priority="174" operator="containsText" text="n/a">
      <formula>NOT(ISERROR(SEARCH("n/a",J78)))</formula>
    </cfRule>
    <cfRule type="containsBlanks" dxfId="188" priority="175">
      <formula>LEN(TRIM(J78))=0</formula>
    </cfRule>
  </conditionalFormatting>
  <conditionalFormatting sqref="F81:G81">
    <cfRule type="containsText" dxfId="187" priority="172" operator="containsText" text="n/a">
      <formula>NOT(ISERROR(SEARCH("n/a",F81)))</formula>
    </cfRule>
    <cfRule type="containsBlanks" dxfId="186" priority="173">
      <formula>LEN(TRIM(F81))=0</formula>
    </cfRule>
  </conditionalFormatting>
  <conditionalFormatting sqref="F85:G85">
    <cfRule type="containsText" dxfId="185" priority="170" operator="containsText" text="n/a">
      <formula>NOT(ISERROR(SEARCH("n/a",F85)))</formula>
    </cfRule>
    <cfRule type="containsBlanks" dxfId="184" priority="171">
      <formula>LEN(TRIM(F85))=0</formula>
    </cfRule>
  </conditionalFormatting>
  <conditionalFormatting sqref="F90:G90">
    <cfRule type="containsText" dxfId="183" priority="168" operator="containsText" text="n/a">
      <formula>NOT(ISERROR(SEARCH("n/a",F90)))</formula>
    </cfRule>
    <cfRule type="containsBlanks" dxfId="182" priority="169">
      <formula>LEN(TRIM(F90))=0</formula>
    </cfRule>
  </conditionalFormatting>
  <conditionalFormatting sqref="F93:G93">
    <cfRule type="containsText" dxfId="181" priority="166" operator="containsText" text="n/a">
      <formula>NOT(ISERROR(SEARCH("n/a",F93)))</formula>
    </cfRule>
    <cfRule type="containsBlanks" dxfId="180" priority="167">
      <formula>LEN(TRIM(F93))=0</formula>
    </cfRule>
  </conditionalFormatting>
  <conditionalFormatting sqref="F96:G96">
    <cfRule type="containsText" dxfId="179" priority="164" operator="containsText" text="n/a">
      <formula>NOT(ISERROR(SEARCH("n/a",F96)))</formula>
    </cfRule>
    <cfRule type="containsBlanks" dxfId="178" priority="165">
      <formula>LEN(TRIM(F96))=0</formula>
    </cfRule>
  </conditionalFormatting>
  <conditionalFormatting sqref="J81:K81">
    <cfRule type="containsText" dxfId="177" priority="162" operator="containsText" text="n/a">
      <formula>NOT(ISERROR(SEARCH("n/a",J81)))</formula>
    </cfRule>
    <cfRule type="containsBlanks" dxfId="176" priority="163">
      <formula>LEN(TRIM(J81))=0</formula>
    </cfRule>
  </conditionalFormatting>
  <conditionalFormatting sqref="J85:K85">
    <cfRule type="containsText" dxfId="175" priority="160" operator="containsText" text="n/a">
      <formula>NOT(ISERROR(SEARCH("n/a",J85)))</formula>
    </cfRule>
    <cfRule type="containsBlanks" dxfId="174" priority="161">
      <formula>LEN(TRIM(J85))=0</formula>
    </cfRule>
  </conditionalFormatting>
  <conditionalFormatting sqref="J90:K90">
    <cfRule type="containsText" dxfId="173" priority="158" operator="containsText" text="n/a">
      <formula>NOT(ISERROR(SEARCH("n/a",J90)))</formula>
    </cfRule>
    <cfRule type="containsBlanks" dxfId="172" priority="159">
      <formula>LEN(TRIM(J90))=0</formula>
    </cfRule>
  </conditionalFormatting>
  <conditionalFormatting sqref="J93:K93">
    <cfRule type="containsText" dxfId="171" priority="156" operator="containsText" text="n/a">
      <formula>NOT(ISERROR(SEARCH("n/a",J93)))</formula>
    </cfRule>
    <cfRule type="containsBlanks" dxfId="170" priority="157">
      <formula>LEN(TRIM(J93))=0</formula>
    </cfRule>
  </conditionalFormatting>
  <conditionalFormatting sqref="J96:K96">
    <cfRule type="containsText" dxfId="169" priority="154" operator="containsText" text="n/a">
      <formula>NOT(ISERROR(SEARCH("n/a",J96)))</formula>
    </cfRule>
    <cfRule type="containsBlanks" dxfId="168" priority="155">
      <formula>LEN(TRIM(J96))=0</formula>
    </cfRule>
  </conditionalFormatting>
  <conditionalFormatting sqref="F82:G82 F86:G86 F89:G89 J82:K82 J86:K86 J89:K89">
    <cfRule type="containsText" dxfId="167" priority="152" operator="containsText" text="n/a">
      <formula>NOT(ISERROR(SEARCH("n/a",F82)))</formula>
    </cfRule>
    <cfRule type="containsBlanks" dxfId="166" priority="153">
      <formula>LEN(TRIM(F82))=0</formula>
    </cfRule>
  </conditionalFormatting>
  <conditionalFormatting sqref="F83:G83 F87:G87 F92:G92 J83:K83 J87:K87 J92:K92">
    <cfRule type="containsText" dxfId="165" priority="150" operator="containsText" text="n/a">
      <formula>NOT(ISERROR(SEARCH("n/a",F83)))</formula>
    </cfRule>
    <cfRule type="containsBlanks" dxfId="164" priority="151">
      <formula>LEN(TRIM(F83))=0</formula>
    </cfRule>
  </conditionalFormatting>
  <conditionalFormatting sqref="G59">
    <cfRule type="containsBlanks" dxfId="163" priority="136">
      <formula>LEN(TRIM(G59))=0</formula>
    </cfRule>
  </conditionalFormatting>
  <conditionalFormatting sqref="G60">
    <cfRule type="containsBlanks" dxfId="162" priority="133">
      <formula>LEN(TRIM(G60))=0</formula>
    </cfRule>
  </conditionalFormatting>
  <conditionalFormatting sqref="F62:G62">
    <cfRule type="containsText" dxfId="161" priority="130" operator="containsText" text="n/a">
      <formula>NOT(ISERROR(SEARCH("n/a",F62)))</formula>
    </cfRule>
    <cfRule type="containsBlanks" dxfId="160" priority="131">
      <formula>LEN(TRIM(F62))=0</formula>
    </cfRule>
  </conditionalFormatting>
  <conditionalFormatting sqref="F63:G66">
    <cfRule type="containsText" dxfId="159" priority="128" operator="containsText" text="n/a">
      <formula>NOT(ISERROR(SEARCH("n/a",F63)))</formula>
    </cfRule>
    <cfRule type="containsBlanks" dxfId="158" priority="129">
      <formula>LEN(TRIM(F63))=0</formula>
    </cfRule>
  </conditionalFormatting>
  <conditionalFormatting sqref="F168:G169">
    <cfRule type="containsBlanks" dxfId="157" priority="123">
      <formula>LEN(TRIM(F168))=0</formula>
    </cfRule>
  </conditionalFormatting>
  <conditionalFormatting sqref="F176:G178">
    <cfRule type="containsText" dxfId="156" priority="116" operator="containsText" text="n/a">
      <formula>NOT(ISERROR(SEARCH("n/a",F176)))</formula>
    </cfRule>
    <cfRule type="containsBlanks" dxfId="155" priority="117">
      <formula>LEN(TRIM(F176))=0</formula>
    </cfRule>
  </conditionalFormatting>
  <conditionalFormatting sqref="F54:G55">
    <cfRule type="containsBlanks" dxfId="154" priority="111">
      <formula>LEN(TRIM(F54))=0</formula>
    </cfRule>
  </conditionalFormatting>
  <conditionalFormatting sqref="J104:J107">
    <cfRule type="duplicateValues" dxfId="153" priority="110"/>
  </conditionalFormatting>
  <conditionalFormatting sqref="J104:K104">
    <cfRule type="containsBlanks" dxfId="152" priority="109">
      <formula>LEN(TRIM(J104))=0</formula>
    </cfRule>
  </conditionalFormatting>
  <conditionalFormatting sqref="J104:K104">
    <cfRule type="expression" dxfId="151" priority="104">
      <formula>IF((LEFT(J104,FIND("~",SUBSTITUTE(J104,".","~",3))-1))=(LEFT(J108,FIND("~",SUBSTITUTE(J108,".","~",3))-1)),FALSE,TRUE)</formula>
    </cfRule>
    <cfRule type="containsText" dxfId="150" priority="105" operator="containsText" text="n/a">
      <formula>NOT(ISERROR(SEARCH("n/a",J104)))</formula>
    </cfRule>
  </conditionalFormatting>
  <conditionalFormatting sqref="J105:K105">
    <cfRule type="containsBlanks" dxfId="149" priority="108">
      <formula>LEN(TRIM(J105))=0</formula>
    </cfRule>
  </conditionalFormatting>
  <conditionalFormatting sqref="J105">
    <cfRule type="expression" dxfId="148" priority="106">
      <formula>IF((LEFT(J105,FIND("~",SUBSTITUTE(J105,".","~",3))-1))=(LEFT(J108,FIND("~",SUBSTITUTE(J108,".","~",3))-1)),FALSE,TRUE)</formula>
    </cfRule>
    <cfRule type="containsText" dxfId="147" priority="107" operator="containsText" text="n/a">
      <formula>NOT(ISERROR(SEARCH("n/a",J105)))</formula>
    </cfRule>
  </conditionalFormatting>
  <conditionalFormatting sqref="J106:K106">
    <cfRule type="expression" dxfId="146" priority="101">
      <formula>IF((LEFT(J106,FIND("~",SUBSTITUTE(J106,".","~",3))-1))=(LEFT(J108,FIND("~",SUBSTITUTE(J108,".","~",3))-1)),FALSE,TRUE)</formula>
    </cfRule>
    <cfRule type="containsText" dxfId="145" priority="102" operator="containsText" text="n/a">
      <formula>NOT(ISERROR(SEARCH("n/a",J106)))</formula>
    </cfRule>
  </conditionalFormatting>
  <conditionalFormatting sqref="J106">
    <cfRule type="containsBlanks" dxfId="144" priority="103">
      <formula>LEN(TRIM(J106))=0</formula>
    </cfRule>
  </conditionalFormatting>
  <conditionalFormatting sqref="J107:K107">
    <cfRule type="expression" dxfId="143" priority="98">
      <formula>IF((LEFT(J107,FIND("~",SUBSTITUTE(J107,".","~",3))-1))=(LEFT(J108,FIND("~",SUBSTITUTE(J108,".","~",3))-1)),FALSE,TRUE)</formula>
    </cfRule>
    <cfRule type="containsBlanks" dxfId="142" priority="99">
      <formula>LEN(TRIM(J107))=0</formula>
    </cfRule>
    <cfRule type="containsBlanks" dxfId="141" priority="100">
      <formula>LEN(TRIM(J107))=0</formula>
    </cfRule>
  </conditionalFormatting>
  <conditionalFormatting sqref="F101">
    <cfRule type="containsText" dxfId="140" priority="95" operator="containsText" text="n/a">
      <formula>NOT(ISERROR(SEARCH("n/a",F101)))</formula>
    </cfRule>
    <cfRule type="containsBlanks" dxfId="139" priority="96">
      <formula>LEN(TRIM(F101))=0</formula>
    </cfRule>
  </conditionalFormatting>
  <conditionalFormatting sqref="J101">
    <cfRule type="containsText" dxfId="138" priority="93" operator="containsText" text="n/a">
      <formula>NOT(ISERROR(SEARCH("n/a",J101)))</formula>
    </cfRule>
    <cfRule type="containsBlanks" dxfId="137" priority="94">
      <formula>LEN(TRIM(J101))=0</formula>
    </cfRule>
  </conditionalFormatting>
  <conditionalFormatting sqref="J179:K179">
    <cfRule type="containsBlanks" dxfId="136" priority="88">
      <formula>LEN(TRIM(J179))=0</formula>
    </cfRule>
  </conditionalFormatting>
  <conditionalFormatting sqref="J179:K179">
    <cfRule type="containsText" dxfId="135" priority="87" operator="containsText" text="n/a">
      <formula>NOT(ISERROR(SEARCH("n/a",J179)))</formula>
    </cfRule>
  </conditionalFormatting>
  <conditionalFormatting sqref="F104:G104">
    <cfRule type="containsText" dxfId="134" priority="85" operator="containsText" text="n/a">
      <formula>NOT(ISERROR(SEARCH("n/a",F104)))</formula>
    </cfRule>
    <cfRule type="containsBlanks" dxfId="133" priority="86">
      <formula>LEN(TRIM(F104))=0</formula>
    </cfRule>
  </conditionalFormatting>
  <conditionalFormatting sqref="F105:G105">
    <cfRule type="containsText" dxfId="132" priority="83" operator="containsText" text="n/a">
      <formula>NOT(ISERROR(SEARCH("n/a",F105)))</formula>
    </cfRule>
    <cfRule type="containsBlanks" dxfId="131" priority="84">
      <formula>LEN(TRIM(F105))=0</formula>
    </cfRule>
  </conditionalFormatting>
  <conditionalFormatting sqref="J37:K37">
    <cfRule type="containsBlanks" dxfId="130" priority="82">
      <formula>LEN(TRIM(J37))=0</formula>
    </cfRule>
  </conditionalFormatting>
  <conditionalFormatting sqref="J38:K38">
    <cfRule type="containsBlanks" dxfId="129" priority="81">
      <formula>LEN(TRIM(J38))=0</formula>
    </cfRule>
  </conditionalFormatting>
  <conditionalFormatting sqref="J183:K183">
    <cfRule type="containsBlanks" dxfId="128" priority="80">
      <formula>LEN(TRIM(J183))=0</formula>
    </cfRule>
  </conditionalFormatting>
  <conditionalFormatting sqref="J183:K183">
    <cfRule type="containsText" dxfId="127" priority="79" operator="containsText" text="n/a">
      <formula>NOT(ISERROR(SEARCH("n/a",J183)))</formula>
    </cfRule>
  </conditionalFormatting>
  <conditionalFormatting sqref="J184:K184">
    <cfRule type="containsBlanks" dxfId="126" priority="78">
      <formula>LEN(TRIM(J184))=0</formula>
    </cfRule>
  </conditionalFormatting>
  <conditionalFormatting sqref="J184:K184">
    <cfRule type="containsText" dxfId="125" priority="77" operator="containsText" text="n/a">
      <formula>NOT(ISERROR(SEARCH("n/a",J184)))</formula>
    </cfRule>
  </conditionalFormatting>
  <conditionalFormatting sqref="J185:K185">
    <cfRule type="containsBlanks" dxfId="124" priority="76">
      <formula>LEN(TRIM(J185))=0</formula>
    </cfRule>
  </conditionalFormatting>
  <conditionalFormatting sqref="J185:K185">
    <cfRule type="containsText" dxfId="123" priority="75" operator="containsText" text="n/a">
      <formula>NOT(ISERROR(SEARCH("n/a",J185)))</formula>
    </cfRule>
  </conditionalFormatting>
  <conditionalFormatting sqref="J27">
    <cfRule type="containsText" dxfId="122" priority="65" operator="containsText" text="n/a">
      <formula>NOT(ISERROR(SEARCH("n/a",J27)))</formula>
    </cfRule>
    <cfRule type="containsBlanks" dxfId="121" priority="66">
      <formula>LEN(TRIM(J27))=0</formula>
    </cfRule>
  </conditionalFormatting>
  <conditionalFormatting sqref="K126:K128">
    <cfRule type="duplicateValues" dxfId="120" priority="792"/>
  </conditionalFormatting>
  <conditionalFormatting sqref="K146:K149 K119:K124 J67 K116:K117">
    <cfRule type="duplicateValues" dxfId="119" priority="929"/>
  </conditionalFormatting>
  <conditionalFormatting sqref="K118">
    <cfRule type="containsBlanks" dxfId="118" priority="63">
      <formula>LEN(TRIM(K118))=0</formula>
    </cfRule>
  </conditionalFormatting>
  <conditionalFormatting sqref="J118">
    <cfRule type="containsText" dxfId="117" priority="57" operator="containsText" text="n/a">
      <formula>NOT(ISERROR(SEARCH("n/a",J118)))</formula>
    </cfRule>
    <cfRule type="containsBlanks" dxfId="116" priority="58">
      <formula>LEN(TRIM(J118))=0</formula>
    </cfRule>
  </conditionalFormatting>
  <conditionalFormatting sqref="J116:J117 J119:J124">
    <cfRule type="containsText" dxfId="115" priority="59" operator="containsText" text="n/a">
      <formula>NOT(ISERROR(SEARCH("n/a",J116)))</formula>
    </cfRule>
    <cfRule type="containsBlanks" dxfId="114" priority="60">
      <formula>LEN(TRIM(J116))=0</formula>
    </cfRule>
  </conditionalFormatting>
  <conditionalFormatting sqref="J146:J149">
    <cfRule type="containsText" dxfId="113" priority="55" operator="containsText" text="n/a">
      <formula>NOT(ISERROR(SEARCH("n/a",J146)))</formula>
    </cfRule>
    <cfRule type="containsBlanks" dxfId="112" priority="56">
      <formula>LEN(TRIM(J146))=0</formula>
    </cfRule>
  </conditionalFormatting>
  <conditionalFormatting sqref="B112:B113">
    <cfRule type="cellIs" dxfId="111" priority="54" operator="equal">
      <formula>"✓"</formula>
    </cfRule>
  </conditionalFormatting>
  <conditionalFormatting sqref="B110">
    <cfRule type="cellIs" dxfId="110" priority="53" operator="equal">
      <formula>"✓"</formula>
    </cfRule>
  </conditionalFormatting>
  <conditionalFormatting sqref="F111">
    <cfRule type="containsText" dxfId="109" priority="51" operator="containsText" text="n/a">
      <formula>NOT(ISERROR(SEARCH("n/a",F111)))</formula>
    </cfRule>
    <cfRule type="containsBlanks" dxfId="108" priority="52">
      <formula>LEN(TRIM(F111))=0</formula>
    </cfRule>
  </conditionalFormatting>
  <conditionalFormatting sqref="G111">
    <cfRule type="containsBlanks" dxfId="107" priority="50">
      <formula>LEN(TRIM(G111))=0</formula>
    </cfRule>
  </conditionalFormatting>
  <conditionalFormatting sqref="B111">
    <cfRule type="cellIs" dxfId="106" priority="49" operator="equal">
      <formula>"✓"</formula>
    </cfRule>
  </conditionalFormatting>
  <conditionalFormatting sqref="F51:G51">
    <cfRule type="containsText" dxfId="105" priority="47" operator="containsText" text="n/a">
      <formula>NOT(ISERROR(SEARCH("n/a",F51)))</formula>
    </cfRule>
    <cfRule type="containsBlanks" dxfId="104" priority="48">
      <formula>LEN(TRIM(F51))=0</formula>
    </cfRule>
  </conditionalFormatting>
  <conditionalFormatting sqref="J162:K162">
    <cfRule type="containsText" dxfId="103" priority="45" operator="containsText" text="n/a">
      <formula>NOT(ISERROR(SEARCH("n/a",J162)))</formula>
    </cfRule>
    <cfRule type="containsBlanks" dxfId="102" priority="46">
      <formula>LEN(TRIM(J162))=0</formula>
    </cfRule>
  </conditionalFormatting>
  <conditionalFormatting sqref="J166:K166">
    <cfRule type="containsText" dxfId="101" priority="43" operator="containsText" text="n/a">
      <formula>NOT(ISERROR(SEARCH("n/a",J166)))</formula>
    </cfRule>
    <cfRule type="containsBlanks" dxfId="100" priority="44">
      <formula>LEN(TRIM(J166))=0</formula>
    </cfRule>
  </conditionalFormatting>
  <conditionalFormatting sqref="J163:K163">
    <cfRule type="containsText" dxfId="99" priority="41" operator="containsText" text="n/a">
      <formula>NOT(ISERROR(SEARCH("n/a",J163)))</formula>
    </cfRule>
    <cfRule type="containsBlanks" dxfId="98" priority="42">
      <formula>LEN(TRIM(J163))=0</formula>
    </cfRule>
  </conditionalFormatting>
  <conditionalFormatting sqref="J164:K164">
    <cfRule type="containsText" dxfId="97" priority="39" operator="containsText" text="n/a">
      <formula>NOT(ISERROR(SEARCH("n/a",J164)))</formula>
    </cfRule>
    <cfRule type="containsBlanks" dxfId="96" priority="40">
      <formula>LEN(TRIM(J164))=0</formula>
    </cfRule>
  </conditionalFormatting>
  <conditionalFormatting sqref="J165:K165">
    <cfRule type="containsText" dxfId="95" priority="37" operator="containsText" text="n/a">
      <formula>NOT(ISERROR(SEARCH("n/a",J165)))</formula>
    </cfRule>
    <cfRule type="containsBlanks" dxfId="94" priority="38">
      <formula>LEN(TRIM(J165))=0</formula>
    </cfRule>
  </conditionalFormatting>
  <conditionalFormatting sqref="G106">
    <cfRule type="expression" dxfId="93" priority="34">
      <formula>$L$61=TRUE</formula>
    </cfRule>
  </conditionalFormatting>
  <conditionalFormatting sqref="F107">
    <cfRule type="containsText" dxfId="92" priority="32" operator="containsText" text="n/a">
      <formula>NOT(ISERROR(SEARCH("n/a",F107)))</formula>
    </cfRule>
    <cfRule type="containsBlanks" dxfId="91" priority="33">
      <formula>LEN(TRIM(F107))=0</formula>
    </cfRule>
  </conditionalFormatting>
  <conditionalFormatting sqref="F7:G7">
    <cfRule type="containsBlanks" dxfId="90" priority="31">
      <formula>LEN(TRIM(F7))=0</formula>
    </cfRule>
  </conditionalFormatting>
  <conditionalFormatting sqref="G7">
    <cfRule type="duplicateValues" dxfId="89" priority="29"/>
  </conditionalFormatting>
  <conditionalFormatting sqref="F112">
    <cfRule type="containsText" dxfId="88" priority="27" operator="containsText" text="n/a">
      <formula>NOT(ISERROR(SEARCH("n/a",F112)))</formula>
    </cfRule>
    <cfRule type="containsBlanks" dxfId="87" priority="28">
      <formula>LEN(TRIM(F112))=0</formula>
    </cfRule>
  </conditionalFormatting>
  <conditionalFormatting sqref="G112">
    <cfRule type="containsBlanks" dxfId="86" priority="26">
      <formula>LEN(TRIM(G112))=0</formula>
    </cfRule>
  </conditionalFormatting>
  <conditionalFormatting sqref="J32:K32">
    <cfRule type="containsText" dxfId="85" priority="24" operator="containsText" text="n/a">
      <formula>NOT(ISERROR(SEARCH("n/a",J32)))</formula>
    </cfRule>
    <cfRule type="containsBlanks" dxfId="84" priority="25">
      <formula>LEN(TRIM(J32))=0</formula>
    </cfRule>
  </conditionalFormatting>
  <conditionalFormatting sqref="J34:K34">
    <cfRule type="containsText" dxfId="83" priority="22" operator="containsText" text="n/a">
      <formula>NOT(ISERROR(SEARCH("n/a",J34)))</formula>
    </cfRule>
    <cfRule type="containsBlanks" dxfId="82" priority="23">
      <formula>LEN(TRIM(J34))=0</formula>
    </cfRule>
  </conditionalFormatting>
  <conditionalFormatting sqref="F179:G179">
    <cfRule type="containsText" dxfId="81" priority="18" operator="containsText" text="n/a">
      <formula>NOT(ISERROR(SEARCH("n/a",F179)))</formula>
    </cfRule>
    <cfRule type="containsBlanks" dxfId="80" priority="19">
      <formula>LEN(TRIM(F179))=0</formula>
    </cfRule>
  </conditionalFormatting>
  <conditionalFormatting sqref="J190:K190">
    <cfRule type="containsText" dxfId="79" priority="16" operator="containsText" text="n/a">
      <formula>NOT(ISERROR(SEARCH("n/a",J190)))</formula>
    </cfRule>
    <cfRule type="containsBlanks" dxfId="78" priority="17">
      <formula>LEN(TRIM(J190))=0</formula>
    </cfRule>
  </conditionalFormatting>
  <conditionalFormatting sqref="J176:K176">
    <cfRule type="containsBlanks" dxfId="77" priority="15">
      <formula>LEN(TRIM(J176))=0</formula>
    </cfRule>
  </conditionalFormatting>
  <conditionalFormatting sqref="J176:K176">
    <cfRule type="containsText" dxfId="76" priority="14" operator="containsText" text="n/a">
      <formula>NOT(ISERROR(SEARCH("n/a",J176)))</formula>
    </cfRule>
  </conditionalFormatting>
  <conditionalFormatting sqref="F118:G118">
    <cfRule type="containsText" dxfId="75" priority="13" operator="containsText" text="n/a">
      <formula>NOT(ISERROR(SEARCH("n/a",F118)))</formula>
    </cfRule>
  </conditionalFormatting>
  <conditionalFormatting sqref="F119:G119">
    <cfRule type="containsText" dxfId="74" priority="12" operator="containsText" text="n/a">
      <formula>NOT(ISERROR(SEARCH("n/a",F119)))</formula>
    </cfRule>
  </conditionalFormatting>
  <conditionalFormatting sqref="B171 B173">
    <cfRule type="cellIs" dxfId="73" priority="11" operator="equal">
      <formula>"✓"</formula>
    </cfRule>
  </conditionalFormatting>
  <conditionalFormatting sqref="B172">
    <cfRule type="cellIs" dxfId="72" priority="10" operator="equal">
      <formula>"✓"</formula>
    </cfRule>
  </conditionalFormatting>
  <conditionalFormatting sqref="G172">
    <cfRule type="containsBlanks" dxfId="71" priority="6">
      <formula>LEN(TRIM(G172))=0</formula>
    </cfRule>
    <cfRule type="duplicateValues" dxfId="70" priority="9"/>
  </conditionalFormatting>
  <conditionalFormatting sqref="F172">
    <cfRule type="containsText" dxfId="69" priority="7" operator="containsText" text="n/a">
      <formula>NOT(ISERROR(SEARCH("n/a",F172)))</formula>
    </cfRule>
    <cfRule type="containsBlanks" dxfId="68" priority="8">
      <formula>LEN(TRIM(F172))=0</formula>
    </cfRule>
  </conditionalFormatting>
  <conditionalFormatting sqref="F168:G168">
    <cfRule type="expression" dxfId="67" priority="4">
      <formula>IF($F$167="true",IF($F$168="n/a", TRUE, FALSE),FALSE)</formula>
    </cfRule>
  </conditionalFormatting>
  <conditionalFormatting sqref="F169:G169">
    <cfRule type="expression" dxfId="66" priority="3">
      <formula>IF($F$167="true",IF($F$169="n/a", TRUE, FALSE),FALSE)</formula>
    </cfRule>
  </conditionalFormatting>
  <conditionalFormatting sqref="J182:K182">
    <cfRule type="containsBlanks" dxfId="65" priority="2">
      <formula>LEN(TRIM(J182))=0</formula>
    </cfRule>
  </conditionalFormatting>
  <conditionalFormatting sqref="J182:K182">
    <cfRule type="containsText" dxfId="64" priority="1" operator="containsText" text="n/a">
      <formula>NOT(ISERROR(SEARCH("n/a",J182)))</formula>
    </cfRule>
  </conditionalFormatting>
  <dataValidations count="11">
    <dataValidation type="list" allowBlank="1" showInputMessage="1" showErrorMessage="1" sqref="F162:G162 F165:G165" xr:uid="{00000000-0002-0000-0400-000000000000}">
      <formula1>"false,true"</formula1>
    </dataValidation>
    <dataValidation type="list" allowBlank="1" showInputMessage="1" showErrorMessage="1" sqref="K30" xr:uid="{00000000-0002-0000-0400-000001000000}">
      <formula1>"n/a,intel-merom,intel-penryn,intel-nehalem,intel-westmere,intel-sandybridge,intel-ivybridge, intel-haswell, amd-rev-e,amd-rev-f,amd-greyhound-no3dnow,amd-greyhound, amd-bulldozer,amd-piledriver"</formula1>
    </dataValidation>
    <dataValidation type="list" allowBlank="1" showInputMessage="1" showErrorMessage="1" sqref="J20:K20" xr:uid="{00000000-0002-0000-0400-000003000000}">
      <formula1>"true,false"</formula1>
    </dataValidation>
    <dataValidation type="list" allowBlank="1" showInputMessage="1" showErrorMessage="1" sqref="F121:G121" xr:uid="{00000000-0002-0000-0400-000004000000}">
      <formula1>"root,child"</formula1>
    </dataValidation>
    <dataValidation type="list" allowBlank="1" showInputMessage="1" showErrorMessage="1" sqref="F39:G39 F36:G37 F34:G34" xr:uid="{00000000-0002-0000-0400-000006000000}">
      <formula1>"vmnic0,vmnic1,vmnic2,vmnic3,vmnic4,vmnic5,vmnic6,vmnic7"</formula1>
    </dataValidation>
    <dataValidation type="list" allowBlank="1" showInputMessage="1" showErrorMessage="1" sqref="K28:K29" xr:uid="{05CD91D7-5134-824E-B5D3-542DC70FE467}">
      <formula1>EVC_Settings</formula1>
    </dataValidation>
    <dataValidation type="list" allowBlank="1" showInputMessage="1" showErrorMessage="1" sqref="J142:K142" xr:uid="{B5C30C88-EE18-1948-B470-32A62A85E66D}">
      <formula1>vRB_Currencies</formula1>
    </dataValidation>
    <dataValidation type="list" allowBlank="1" showInputMessage="1" showErrorMessage="1" sqref="F36:G37" xr:uid="{00000000-0002-0000-0400-000005000000}">
      <formula1>"vmk0,vmk1,vmk2,vmk3,vmk4,vmk5"</formula1>
    </dataValidation>
    <dataValidation allowBlank="1" showInputMessage="1" showErrorMessage="1" promptTitle="VTEP DHCP v Static Config" prompt="If the VTEP Start and End Address values are set to n/a DHCP will be configured by Cloud Builder._x000a__x000a_NOTE: Each ESXi host requires 2 IP Addresses for VTEP Load Balancing." sqref="G59 K59:K60" xr:uid="{7E6F6FEE-6499-EF4E-8F2D-805E6DE339AB}"/>
    <dataValidation allowBlank="1" showInputMessage="1" showErrorMessage="1" promptTitle="VTEP DHCP v Static Config " prompt="If the VTEP Start and End Address values are set to n/a DHCP will be configured by Cloud Builder._x000a__x000a_NOTE: Each ESXi host requires 2 IP Addresses for VTEP Load Balancing." sqref="G60" xr:uid="{D4E54394-5AF6-A54A-9A66-7506E8BB8E46}"/>
    <dataValidation type="list" allowBlank="1" showInputMessage="1" showErrorMessage="1" promptTitle="SMTP Authentication" prompt="If you are required to use authentication when integrating with your SMTP Mail Services then ensure that you provide the username and password in the fields below" sqref="F167:G167" xr:uid="{10CB9AA0-56D7-034F-9CD3-F5584471A20E}">
      <formula1>"true,false"</formula1>
    </dataValidation>
  </dataValidations>
  <hyperlinks>
    <hyperlink ref="F169" r:id="rId1" display="administrator@sddc.local" xr:uid="{00000000-0004-0000-0400-000000000000}"/>
    <hyperlink ref="F46" r:id="rId2" xr:uid="{00000000-0004-0000-0400-000002000000}"/>
    <hyperlink ref="F178" r:id="rId3" display="administrator@sddc.local" xr:uid="{00000000-0004-0000-0400-000001000000}"/>
  </hyperlinks>
  <printOptions horizontalCentered="1"/>
  <pageMargins left="0.5" right="0.5" top="0.5" bottom="0.5" header="0.25" footer="0.25"/>
  <pageSetup scale="39" orientation="portrait" r:id="rId4"/>
  <headerFooter alignWithMargins="0">
    <oddFooter>&amp;L&amp;8http://www.vertex42.com/ExcelTemplates/spring-cleaning-checklist.html</oddFooter>
  </headerFooter>
  <ignoredErrors>
    <ignoredError sqref="F14:G14 J10:K20 F26 F29 J26:K26 J29 J27 J31:K34 J37:K38 F49:G51 F58 J58 J64:K69 F63:G64 J71 F81:G81 F85:G85 J81:K81 J85:K85 J103:K108 F116 F118:G119 J135 F139 F145:F146 F152:G155 F158:F159 J159:K167 F172 F176:G179 F13:G13 F54:G55 J182 J183:K184 F27 F31 F30 G83 G82 G87 G86 K83 K82 K87 K86 F115 F175 J28" unlockedFormula="1"/>
    <ignoredError sqref="L59:L64" evalError="1"/>
  </ignoredErrors>
  <drawing r:id="rId5"/>
  <extLst>
    <ext xmlns:x14="http://schemas.microsoft.com/office/spreadsheetml/2009/9/main" uri="{78C0D931-6437-407d-A8EE-F0AAD7539E65}">
      <x14:conditionalFormattings>
        <x14:conditionalFormatting xmlns:xm="http://schemas.microsoft.com/office/excel/2006/main">
          <x14:cfRule type="expression" priority="5" id="{EE64B974-59E4-D747-BA34-70CB47984D03}">
            <xm:f>IF((LEFT(G172,FIND("~",SUBSTITUTE(G172,".","~",3))-1))=(LEFT('Hosts and Networks'!D8,FIND("~",SUBSTITUTE('Hosts and Networks'!D8,".","~",3))-1)),FALSE,TRUE)</xm:f>
            <x14:dxf>
              <font>
                <b/>
                <i val="0"/>
                <color rgb="FF9C0006"/>
              </font>
              <fill>
                <patternFill>
                  <bgColor theme="5" tint="0.59996337778862885"/>
                </patternFill>
              </fill>
            </x14:dxf>
          </x14:cfRule>
          <xm:sqref>G172</xm:sqref>
        </x14:conditionalFormatting>
        <x14:conditionalFormatting xmlns:xm="http://schemas.microsoft.com/office/excel/2006/main">
          <x14:cfRule type="expression" priority="285" id="{231DF815-F806-864C-8FB3-3978A3D9F58F}">
            <xm:f>IF((LEFT(G183,FIND("~",SUBSTITUTE(G183,".","~",3))-1))=(LEFT('Hosts and Networks'!D12,FIND("~",SUBSTITUTE('Hosts and Networks'!D12,".","~",3))-1)),FALSE,TRUE)</xm:f>
            <x14:dxf>
              <font>
                <b/>
                <i val="0"/>
                <color rgb="FF9C0006"/>
              </font>
              <fill>
                <patternFill>
                  <bgColor theme="5" tint="0.59996337778862885"/>
                </patternFill>
              </fill>
            </x14:dxf>
          </x14:cfRule>
          <xm:sqref>G183</xm:sqref>
        </x14:conditionalFormatting>
        <x14:conditionalFormatting xmlns:xm="http://schemas.microsoft.com/office/excel/2006/main">
          <x14:cfRule type="expression" priority="187" id="{6D5505F1-2C68-D54A-B46B-A9C70D4C6F05}">
            <xm:f>IF((LEFT(K59,FIND("~",SUBSTITUTE(K59,".","~",3))-1))=(LEFT('Hosts and Networks'!D23,FIND("~",SUBSTITUTE('Hosts and Networks'!D23,".","~",3))-1)),FALSE,TRUE)</xm:f>
            <x14:dxf>
              <font>
                <b/>
                <i val="0"/>
                <color rgb="FF9C0006"/>
              </font>
              <fill>
                <patternFill>
                  <bgColor theme="5" tint="0.59996337778862885"/>
                </patternFill>
              </fill>
            </x14:dxf>
          </x14:cfRule>
          <xm:sqref>K59</xm:sqref>
        </x14:conditionalFormatting>
        <x14:conditionalFormatting xmlns:xm="http://schemas.microsoft.com/office/excel/2006/main">
          <x14:cfRule type="expression" priority="182" id="{532E2D09-E3C1-3B42-8868-E5DA3DE36E0B}">
            <xm:f>IF((LEFT(K60,FIND("~",SUBSTITUTE(K60,".","~",3))-1))=(LEFT('Hosts and Networks'!D23,FIND("~",SUBSTITUTE('Hosts and Networks'!D23,".","~",3))-1)),FALSE,TRUE)</xm:f>
            <x14:dxf>
              <font>
                <b/>
                <i val="0"/>
                <color rgb="FF9C0006"/>
              </font>
              <fill>
                <patternFill>
                  <bgColor theme="5" tint="0.59996337778862885"/>
                </patternFill>
              </fill>
            </x14:dxf>
          </x14:cfRule>
          <xm:sqref>K60</xm:sqref>
        </x14:conditionalFormatting>
        <x14:conditionalFormatting xmlns:xm="http://schemas.microsoft.com/office/excel/2006/main">
          <x14:cfRule type="expression" priority="149" id="{AF73AF35-8F8B-AE45-A8DB-366739F3B75B}">
            <xm:f>IF((LEFT(J82,FIND("~",SUBSTITUTE(J82,".","~",3))-1))=(LEFT('Hosts and Networks'!D24,FIND("~",SUBSTITUTE('Hosts and Networks'!D24,".","~",3))-1)),FALSE,TRUE)</xm:f>
            <x14:dxf>
              <font>
                <b/>
                <i val="0"/>
                <color rgb="FF9C0006"/>
              </font>
              <fill>
                <patternFill>
                  <bgColor theme="5" tint="0.59996337778862885"/>
                </patternFill>
              </fill>
            </x14:dxf>
          </x14:cfRule>
          <xm:sqref>J82:K83</xm:sqref>
        </x14:conditionalFormatting>
        <x14:conditionalFormatting xmlns:xm="http://schemas.microsoft.com/office/excel/2006/main">
          <x14:cfRule type="expression" priority="148" id="{8E431A45-1E6D-D745-9070-3A1954C270DF}">
            <xm:f>IF((LEFT(J86,FIND("~",SUBSTITUTE(J86,".","~",3))-1))=(LEFT('Hosts and Networks'!D24,FIND("~",SUBSTITUTE('Hosts and Networks'!D24,".","~",3))-1)),FALSE,TRUE)</xm:f>
            <x14:dxf>
              <font>
                <b/>
                <i val="0"/>
                <color rgb="FF9C0006"/>
              </font>
              <fill>
                <patternFill>
                  <bgColor theme="5" tint="0.59996337778862885"/>
                </patternFill>
              </fill>
            </x14:dxf>
          </x14:cfRule>
          <xm:sqref>J86:K87</xm:sqref>
        </x14:conditionalFormatting>
        <x14:conditionalFormatting xmlns:xm="http://schemas.microsoft.com/office/excel/2006/main">
          <x14:cfRule type="expression" priority="147" id="{A20FF4BC-83EF-5344-BFC4-B7B201877F2D}">
            <xm:f>IF((LEFT(J89,FIND("~",SUBSTITUTE(J89,".","~",3))-1))=(LEFT('Hosts and Networks'!D24,FIND("~",SUBSTITUTE('Hosts and Networks'!D24,".","~",3))-1)),FALSE,TRUE)</xm:f>
            <x14:dxf>
              <font>
                <b/>
                <i val="0"/>
                <color rgb="FF9C0006"/>
              </font>
              <fill>
                <patternFill>
                  <bgColor theme="5" tint="0.59996337778862885"/>
                </patternFill>
              </fill>
            </x14:dxf>
          </x14:cfRule>
          <xm:sqref>J89:K89</xm:sqref>
        </x14:conditionalFormatting>
        <x14:conditionalFormatting xmlns:xm="http://schemas.microsoft.com/office/excel/2006/main">
          <x14:cfRule type="expression" priority="144" id="{C4BAB441-A0EB-EC42-97B9-04BF9F067F7A}">
            <xm:f>IF((LEFT(J92,FIND("~",SUBSTITUTE(J92,".","~",3))-1))=(LEFT('Hosts and Networks'!D25,FIND("~",SUBSTITUTE('Hosts and Networks'!D25,".","~",3))-1)),FALSE,TRUE)</xm:f>
            <x14:dxf>
              <font>
                <b/>
                <i val="0"/>
                <color rgb="FF9C0006"/>
              </font>
              <fill>
                <patternFill>
                  <bgColor theme="5" tint="0.59996337778862885"/>
                </patternFill>
              </fill>
            </x14:dxf>
          </x14:cfRule>
          <xm:sqref>J92:K92</xm:sqref>
        </x14:conditionalFormatting>
        <x14:conditionalFormatting xmlns:xm="http://schemas.microsoft.com/office/excel/2006/main">
          <x14:cfRule type="expression" priority="143" id="{D3211944-CC87-0341-96C7-BB6F6A6502EB}">
            <xm:f>IF((LEFT(F82,FIND("~",SUBSTITUTE(F82,".","~",3))-1))=(LEFT('Hosts and Networks'!D14,FIND("~",SUBSTITUTE('Hosts and Networks'!D14,".","~",3))-1)),FALSE,TRUE)</xm:f>
            <x14:dxf>
              <font>
                <b/>
                <i val="0"/>
                <color rgb="FF9C0006"/>
              </font>
              <fill>
                <patternFill>
                  <bgColor theme="5" tint="0.59996337778862885"/>
                </patternFill>
              </fill>
            </x14:dxf>
          </x14:cfRule>
          <xm:sqref>F82:G83</xm:sqref>
        </x14:conditionalFormatting>
        <x14:conditionalFormatting xmlns:xm="http://schemas.microsoft.com/office/excel/2006/main">
          <x14:cfRule type="expression" priority="142" id="{2971B060-32A4-C449-A97C-F9ABF4D37538}">
            <xm:f>IF((LEFT(F86,FIND("~",SUBSTITUTE(F86,".","~",3))-1))=(LEFT('Hosts and Networks'!D14,FIND("~",SUBSTITUTE('Hosts and Networks'!D14,".","~",3))-1)),FALSE,TRUE)</xm:f>
            <x14:dxf>
              <font>
                <b/>
                <i val="0"/>
                <color rgb="FF9C0006"/>
              </font>
              <fill>
                <patternFill>
                  <bgColor theme="5" tint="0.59996337778862885"/>
                </patternFill>
              </fill>
            </x14:dxf>
          </x14:cfRule>
          <xm:sqref>F86:G87</xm:sqref>
        </x14:conditionalFormatting>
        <x14:conditionalFormatting xmlns:xm="http://schemas.microsoft.com/office/excel/2006/main">
          <x14:cfRule type="expression" priority="141" id="{596E3881-D97F-424E-BB30-58F4AC1EFD97}">
            <xm:f>IF((LEFT(F89,FIND("~",SUBSTITUTE(F89,".","~",3))-1))=(LEFT('Hosts and Networks'!D14,FIND("~",SUBSTITUTE('Hosts and Networks'!D14,".","~",3))-1)),FALSE,TRUE)</xm:f>
            <x14:dxf>
              <font>
                <b/>
                <i val="0"/>
                <color rgb="FF9C0006"/>
              </font>
              <fill>
                <patternFill>
                  <bgColor theme="5" tint="0.59996337778862885"/>
                </patternFill>
              </fill>
            </x14:dxf>
          </x14:cfRule>
          <xm:sqref>F89:G89</xm:sqref>
        </x14:conditionalFormatting>
        <x14:conditionalFormatting xmlns:xm="http://schemas.microsoft.com/office/excel/2006/main">
          <x14:cfRule type="expression" priority="138" id="{F21D51E8-38F5-D546-A50A-4AF0941C323A}">
            <xm:f>IF((LEFT(F92,FIND("~",SUBSTITUTE(F92,".","~",3))-1))=(LEFT('Hosts and Networks'!D15,FIND("~",SUBSTITUTE('Hosts and Networks'!D15,".","~",3))-1)),FALSE,TRUE)</xm:f>
            <x14:dxf>
              <font>
                <b/>
                <i val="0"/>
                <color rgb="FF9C0006"/>
              </font>
              <fill>
                <patternFill>
                  <bgColor theme="5" tint="0.59996337778862885"/>
                </patternFill>
              </fill>
            </x14:dxf>
          </x14:cfRule>
          <xm:sqref>F92:G92</xm:sqref>
        </x14:conditionalFormatting>
        <x14:conditionalFormatting xmlns:xm="http://schemas.microsoft.com/office/excel/2006/main">
          <x14:cfRule type="expression" priority="137" id="{859A23E6-B150-FA46-8A73-5659DB2A5AA0}">
            <xm:f>IF((LEFT(G59,FIND("~",SUBSTITUTE(G59,".","~",3))-1))=(LEFT('Hosts and Networks'!D13,FIND("~",SUBSTITUTE('Hosts and Networks'!D13,".","~",3))-1)),FALSE,TRUE)</xm:f>
            <x14:dxf>
              <font>
                <b/>
                <i val="0"/>
                <color rgb="FF9C0006"/>
              </font>
              <fill>
                <patternFill>
                  <bgColor theme="5" tint="0.59996337778862885"/>
                </patternFill>
              </fill>
            </x14:dxf>
          </x14:cfRule>
          <xm:sqref>G59</xm:sqref>
        </x14:conditionalFormatting>
        <x14:conditionalFormatting xmlns:xm="http://schemas.microsoft.com/office/excel/2006/main">
          <x14:cfRule type="expression" priority="134" id="{A1E24B25-B4D8-DD4E-A3A2-8B9C095158CF}">
            <xm:f>IF((LEFT(G60,FIND("~",SUBSTITUTE(G60,".","~",3))-1))=(LEFT('Hosts and Networks'!D13,FIND("~",SUBSTITUTE('Hosts and Networks'!D13,".","~",3))-1)),FALSE,TRUE)</xm:f>
            <x14:dxf>
              <font>
                <b/>
                <i val="0"/>
                <color rgb="FF9C0006"/>
              </font>
              <fill>
                <patternFill>
                  <bgColor theme="5" tint="0.59996337778862885"/>
                </patternFill>
              </fill>
            </x14:dxf>
          </x14:cfRule>
          <xm:sqref>G60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J23"/>
  <sheetViews>
    <sheetView showGridLines="0" zoomScaleNormal="100" zoomScalePageLayoutView="117" workbookViewId="0">
      <pane ySplit="4" topLeftCell="A5" activePane="bottomLeft" state="frozen"/>
      <selection pane="bottomLeft" activeCell="F13" sqref="F13"/>
    </sheetView>
  </sheetViews>
  <sheetFormatPr baseColWidth="10" defaultColWidth="8.83203125" defaultRowHeight="13"/>
  <cols>
    <col min="1" max="1" width="1.5" style="56" customWidth="1"/>
    <col min="2" max="2" width="35.6640625" style="56" customWidth="1"/>
    <col min="3" max="3" width="34.83203125" style="56" customWidth="1"/>
    <col min="4" max="4" width="2.6640625" style="56" customWidth="1"/>
    <col min="5" max="5" width="35.6640625" style="56" customWidth="1"/>
    <col min="6" max="6" width="34.83203125" style="56" customWidth="1"/>
    <col min="7" max="9" width="15.33203125" style="56" customWidth="1"/>
    <col min="10" max="10" width="25.6640625" style="56" customWidth="1"/>
    <col min="11" max="16384" width="8.83203125" style="56"/>
  </cols>
  <sheetData>
    <row r="1" spans="2:10" ht="48" customHeight="1">
      <c r="B1" s="57"/>
      <c r="C1" s="56" t="s">
        <v>4</v>
      </c>
    </row>
    <row r="2" spans="2:10" ht="4" customHeight="1" thickBot="1">
      <c r="B2" s="57"/>
    </row>
    <row r="3" spans="2:10" ht="46" customHeight="1" thickBot="1">
      <c r="B3" s="356" t="s">
        <v>760</v>
      </c>
      <c r="C3" s="470"/>
      <c r="D3" s="470"/>
      <c r="E3" s="470"/>
      <c r="F3" s="470"/>
      <c r="G3" s="470"/>
      <c r="H3" s="470"/>
      <c r="I3" s="470"/>
      <c r="J3" s="471"/>
    </row>
    <row r="4" spans="2:10" ht="4" customHeight="1">
      <c r="B4" s="57"/>
    </row>
    <row r="5" spans="2:10" s="58" customFormat="1" ht="20" customHeight="1">
      <c r="B5" s="468" t="s">
        <v>310</v>
      </c>
      <c r="C5" s="469"/>
      <c r="D5" s="469"/>
      <c r="E5" s="469"/>
      <c r="F5" s="469"/>
      <c r="G5" s="469"/>
      <c r="H5" s="469"/>
      <c r="I5" s="469"/>
      <c r="J5" s="469"/>
    </row>
    <row r="6" spans="2:10" s="58" customFormat="1" ht="16" customHeight="1"/>
    <row r="7" spans="2:10" s="58" customFormat="1" ht="16" customHeight="1">
      <c r="B7" s="88" t="s">
        <v>236</v>
      </c>
      <c r="C7" s="239" t="s">
        <v>32</v>
      </c>
      <c r="E7" s="88" t="s">
        <v>287</v>
      </c>
      <c r="F7" s="239" t="s">
        <v>32</v>
      </c>
    </row>
    <row r="8" spans="2:10" s="58" customFormat="1" ht="16" customHeight="1">
      <c r="B8" s="91" t="s">
        <v>246</v>
      </c>
      <c r="C8" s="241" t="s">
        <v>335</v>
      </c>
      <c r="E8" s="91" t="s">
        <v>288</v>
      </c>
      <c r="F8" s="240" t="str">
        <f>'Deploy Parameters'!J22&amp;"-fabric-group"</f>
        <v>lax01-fabric-group</v>
      </c>
    </row>
    <row r="9" spans="2:10" s="58" customFormat="1" ht="16" customHeight="1">
      <c r="B9" s="91" t="s">
        <v>247</v>
      </c>
      <c r="C9" s="241" t="s">
        <v>336</v>
      </c>
    </row>
    <row r="10" spans="2:10" s="58" customFormat="1" ht="16" customHeight="1"/>
    <row r="11" spans="2:10" s="58" customFormat="1" ht="16" customHeight="1">
      <c r="B11" s="88" t="s">
        <v>1035</v>
      </c>
      <c r="C11" s="239" t="s">
        <v>32</v>
      </c>
      <c r="D11" s="41"/>
      <c r="E11" s="328" t="str">
        <f>"Tenant Local User - "&amp;C8</f>
        <v>Tenant Local User - Rainpole</v>
      </c>
      <c r="F11" s="327" t="s">
        <v>32</v>
      </c>
      <c r="G11" s="330"/>
    </row>
    <row r="12" spans="2:10" s="58" customFormat="1" ht="16" customHeight="1">
      <c r="B12" s="88" t="s">
        <v>19</v>
      </c>
      <c r="C12" s="241" t="s">
        <v>1328</v>
      </c>
      <c r="D12" s="117"/>
      <c r="E12" s="329" t="s">
        <v>19</v>
      </c>
      <c r="F12" s="326" t="s">
        <v>1329</v>
      </c>
      <c r="G12" s="331"/>
    </row>
    <row r="13" spans="2:10" s="58" customFormat="1" ht="16" customHeight="1">
      <c r="B13" s="88" t="s">
        <v>1034</v>
      </c>
      <c r="C13" s="241" t="s">
        <v>15</v>
      </c>
      <c r="E13" s="329" t="s">
        <v>1034</v>
      </c>
      <c r="F13" s="326" t="s">
        <v>15</v>
      </c>
      <c r="G13" s="331"/>
    </row>
    <row r="14" spans="2:10" s="58" customFormat="1" ht="16" customHeight="1"/>
    <row r="15" spans="2:10" s="58" customFormat="1" ht="16" customHeight="1"/>
    <row r="16" spans="2:10" s="58" customFormat="1" ht="16" customHeight="1"/>
    <row r="17" s="58" customFormat="1" ht="16" customHeight="1"/>
    <row r="18" s="58" customFormat="1" ht="16" customHeight="1"/>
    <row r="19" s="58" customFormat="1"/>
    <row r="20" s="58" customFormat="1"/>
    <row r="21" s="58" customFormat="1"/>
    <row r="22" s="58" customFormat="1"/>
    <row r="23" s="58" customFormat="1"/>
  </sheetData>
  <sheetProtection sheet="1" objects="1" scenarios="1"/>
  <mergeCells count="2">
    <mergeCell ref="B5:J5"/>
    <mergeCell ref="B3:J3"/>
  </mergeCells>
  <conditionalFormatting sqref="B5">
    <cfRule type="cellIs" dxfId="49" priority="5" operator="equal">
      <formula>"✓"</formula>
    </cfRule>
  </conditionalFormatting>
  <dataValidations count="1">
    <dataValidation allowBlank="1" showInputMessage="1" showErrorMessage="1" promptTitle="Tenant URL" prompt="The value provided in this cell will be the syntax needed to login to the vRealize Automation UI. Example: https://vra01svr01.rainpole.local/vcac/org/rainpole._x000a__x000a_NOTE: This is case sensitive" sqref="C9" xr:uid="{12907F33-3502-3246-881C-0347AACEE850}"/>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ignoredErrors>
    <ignoredError sqref="F8" unlocked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O190"/>
  <sheetViews>
    <sheetView zoomScaleNormal="100" zoomScalePageLayoutView="117" workbookViewId="0">
      <pane ySplit="3" topLeftCell="A4" activePane="bottomLeft" state="frozen"/>
      <selection pane="bottomLeft" activeCell="B5" sqref="B5"/>
    </sheetView>
  </sheetViews>
  <sheetFormatPr baseColWidth="10" defaultColWidth="8.83203125" defaultRowHeight="13"/>
  <cols>
    <col min="1" max="1" width="2.6640625" style="49" customWidth="1"/>
    <col min="2" max="2" width="55.6640625" style="49" customWidth="1"/>
    <col min="3" max="3" width="32.6640625" style="49" customWidth="1"/>
    <col min="4" max="4" width="2.6640625" style="49" customWidth="1"/>
    <col min="5" max="5" width="70.33203125" style="49" customWidth="1"/>
    <col min="6" max="6" width="32.6640625" style="49" customWidth="1"/>
    <col min="7" max="41" width="8.83203125" style="50"/>
    <col min="42" max="16384" width="8.83203125" style="49"/>
  </cols>
  <sheetData>
    <row r="1" spans="2:41" s="56" customFormat="1" ht="48" customHeight="1">
      <c r="B1" s="87"/>
      <c r="C1" s="57"/>
      <c r="D1" s="56" t="s">
        <v>4</v>
      </c>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2:41" s="93" customFormat="1" ht="4" customHeight="1" thickBot="1">
      <c r="B2" s="95"/>
      <c r="C2" s="94"/>
    </row>
    <row r="3" spans="2:41" s="93" customFormat="1" ht="64" customHeight="1" thickBot="1">
      <c r="B3" s="356" t="s">
        <v>1064</v>
      </c>
      <c r="C3" s="472"/>
      <c r="D3" s="472"/>
      <c r="E3" s="472"/>
      <c r="F3" s="473"/>
    </row>
    <row r="4" spans="2:41" s="90" customFormat="1" ht="4" customHeight="1">
      <c r="B4" s="92"/>
      <c r="C4" s="92"/>
    </row>
    <row r="5" spans="2:41" s="124" customFormat="1" ht="19" customHeight="1">
      <c r="B5" s="325" t="s">
        <v>1061</v>
      </c>
      <c r="C5" s="96"/>
      <c r="D5" s="96"/>
      <c r="E5" s="96"/>
      <c r="F5" s="96"/>
    </row>
    <row r="6" spans="2:41" s="124" customFormat="1" ht="16" customHeight="1"/>
    <row r="7" spans="2:41" s="124" customFormat="1" ht="19" customHeight="1">
      <c r="B7" s="120" t="s">
        <v>1065</v>
      </c>
      <c r="C7" s="97"/>
      <c r="E7" s="121" t="s">
        <v>677</v>
      </c>
      <c r="F7" s="98"/>
    </row>
    <row r="8" spans="2:41" s="124" customFormat="1" ht="16" customHeight="1">
      <c r="B8" s="100" t="s">
        <v>587</v>
      </c>
      <c r="C8" s="101"/>
      <c r="E8" s="88" t="s">
        <v>1200</v>
      </c>
      <c r="F8" s="281" t="s">
        <v>1067</v>
      </c>
    </row>
    <row r="9" spans="2:41" s="124" customFormat="1" ht="16" customHeight="1">
      <c r="B9" s="129" t="s">
        <v>5</v>
      </c>
      <c r="C9" s="281" t="s">
        <v>23</v>
      </c>
      <c r="E9" s="88" t="s">
        <v>1201</v>
      </c>
      <c r="F9" s="281" t="s">
        <v>1067</v>
      </c>
    </row>
    <row r="10" spans="2:41" s="124" customFormat="1" ht="16" customHeight="1">
      <c r="B10" s="129" t="s">
        <v>31</v>
      </c>
      <c r="C10" s="281" t="s">
        <v>23</v>
      </c>
    </row>
    <row r="11" spans="2:41" s="124" customFormat="1" ht="16" customHeight="1">
      <c r="B11" s="129" t="s">
        <v>1126</v>
      </c>
      <c r="C11" s="281" t="s">
        <v>23</v>
      </c>
      <c r="E11" s="88" t="s">
        <v>678</v>
      </c>
      <c r="F11" s="281" t="s">
        <v>1067</v>
      </c>
    </row>
    <row r="12" spans="2:41" s="124" customFormat="1" ht="16" customHeight="1">
      <c r="B12" s="102" t="s">
        <v>588</v>
      </c>
      <c r="C12" s="103"/>
      <c r="E12" s="88" t="s">
        <v>1068</v>
      </c>
      <c r="F12" s="281" t="s">
        <v>1067</v>
      </c>
    </row>
    <row r="13" spans="2:41" s="124" customFormat="1" ht="16" customHeight="1">
      <c r="B13" s="129" t="s">
        <v>3</v>
      </c>
      <c r="C13" s="281" t="s">
        <v>23</v>
      </c>
      <c r="E13" s="88" t="s">
        <v>1069</v>
      </c>
      <c r="F13" s="281" t="s">
        <v>1067</v>
      </c>
    </row>
    <row r="14" spans="2:41" s="124" customFormat="1" ht="16" customHeight="1">
      <c r="B14" s="129" t="s">
        <v>679</v>
      </c>
      <c r="C14" s="281" t="s">
        <v>23</v>
      </c>
      <c r="E14" s="88" t="s">
        <v>1127</v>
      </c>
      <c r="F14" s="281" t="s">
        <v>1067</v>
      </c>
    </row>
    <row r="15" spans="2:41" s="124" customFormat="1" ht="16" customHeight="1">
      <c r="B15" s="102" t="s">
        <v>689</v>
      </c>
      <c r="C15" s="103"/>
      <c r="E15" s="88" t="s">
        <v>583</v>
      </c>
      <c r="F15" s="281" t="s">
        <v>1067</v>
      </c>
    </row>
    <row r="16" spans="2:41" s="124" customFormat="1" ht="16" customHeight="1">
      <c r="B16" s="129" t="s">
        <v>690</v>
      </c>
      <c r="C16" s="281" t="s">
        <v>23</v>
      </c>
    </row>
    <row r="17" spans="2:6" s="124" customFormat="1" ht="16" customHeight="1">
      <c r="E17" s="88" t="s">
        <v>1066</v>
      </c>
      <c r="F17" s="281" t="s">
        <v>1067</v>
      </c>
    </row>
    <row r="18" spans="2:6" s="124" customFormat="1" ht="16" customHeight="1"/>
    <row r="19" spans="2:6" s="124" customFormat="1" ht="16" customHeight="1">
      <c r="E19" s="88" t="s">
        <v>1042</v>
      </c>
      <c r="F19" s="281" t="s">
        <v>23</v>
      </c>
    </row>
    <row r="20" spans="2:6" s="124" customFormat="1" ht="16" customHeight="1"/>
    <row r="21" spans="2:6" s="124" customFormat="1" ht="19" customHeight="1">
      <c r="B21" s="324" t="s">
        <v>1202</v>
      </c>
      <c r="C21" s="324"/>
      <c r="D21" s="324"/>
      <c r="E21" s="324"/>
      <c r="F21" s="324"/>
    </row>
    <row r="22" spans="2:6" s="124" customFormat="1" ht="16" customHeight="1"/>
    <row r="23" spans="2:6" s="124" customFormat="1" ht="16" customHeight="1">
      <c r="B23" s="88" t="s">
        <v>1062</v>
      </c>
      <c r="C23" s="241" t="s">
        <v>466</v>
      </c>
      <c r="E23" s="474" t="s">
        <v>1071</v>
      </c>
      <c r="F23" s="475"/>
    </row>
    <row r="24" spans="2:6" s="124" customFormat="1" ht="16" customHeight="1">
      <c r="B24" s="88" t="s">
        <v>1063</v>
      </c>
      <c r="C24" s="241" t="s">
        <v>467</v>
      </c>
      <c r="E24" s="88" t="s">
        <v>1074</v>
      </c>
      <c r="F24" s="241" t="s">
        <v>467</v>
      </c>
    </row>
    <row r="25" spans="2:6" s="124" customFormat="1" ht="16" customHeight="1">
      <c r="B25" s="99"/>
      <c r="C25" s="92"/>
      <c r="E25" s="88" t="s">
        <v>1073</v>
      </c>
      <c r="F25" s="241" t="s">
        <v>467</v>
      </c>
    </row>
    <row r="26" spans="2:6" s="124" customFormat="1" ht="16" customHeight="1">
      <c r="B26" s="88" t="s">
        <v>743</v>
      </c>
      <c r="C26" s="241" t="s">
        <v>468</v>
      </c>
      <c r="E26" s="88" t="s">
        <v>1072</v>
      </c>
      <c r="F26" s="241" t="s">
        <v>467</v>
      </c>
    </row>
    <row r="27" spans="2:6" s="124" customFormat="1" ht="16" customHeight="1"/>
    <row r="28" spans="2:6" s="124" customFormat="1" ht="16" customHeight="1">
      <c r="B28" s="88" t="s">
        <v>996</v>
      </c>
      <c r="C28" s="241" t="s">
        <v>469</v>
      </c>
      <c r="E28" s="474" t="s">
        <v>1075</v>
      </c>
      <c r="F28" s="475"/>
    </row>
    <row r="29" spans="2:6" s="124" customFormat="1" ht="16" customHeight="1">
      <c r="E29" s="88" t="s">
        <v>1076</v>
      </c>
      <c r="F29" s="241" t="s">
        <v>467</v>
      </c>
    </row>
    <row r="30" spans="2:6" s="124" customFormat="1" ht="16" customHeight="1">
      <c r="E30" s="88" t="s">
        <v>1077</v>
      </c>
      <c r="F30" s="241" t="s">
        <v>467</v>
      </c>
    </row>
    <row r="31" spans="2:6" s="124" customFormat="1" ht="16" customHeight="1">
      <c r="E31" s="88" t="s">
        <v>1078</v>
      </c>
      <c r="F31" s="241" t="s">
        <v>467</v>
      </c>
    </row>
    <row r="32" spans="2:6" s="50" customFormat="1"/>
    <row r="33" s="50" customFormat="1"/>
    <row r="34" s="50" customFormat="1"/>
    <row r="35" s="50" customFormat="1"/>
    <row r="36" s="50" customFormat="1"/>
    <row r="37" s="50" customFormat="1"/>
    <row r="38" s="50" customFormat="1"/>
    <row r="39" s="50" customFormat="1"/>
    <row r="40" s="50" customFormat="1"/>
    <row r="41" s="50" customFormat="1"/>
    <row r="42" s="50" customFormat="1"/>
    <row r="43" s="50" customFormat="1"/>
    <row r="44" s="50" customFormat="1"/>
    <row r="45" s="50" customFormat="1"/>
    <row r="46" s="50" customFormat="1"/>
    <row r="47" s="50" customFormat="1"/>
    <row r="48" s="50" customFormat="1"/>
    <row r="49" s="50" customFormat="1"/>
    <row r="50" s="50" customFormat="1"/>
    <row r="51" s="50" customFormat="1"/>
    <row r="52" s="50" customFormat="1"/>
    <row r="53" s="50" customFormat="1"/>
    <row r="54" s="50" customFormat="1"/>
    <row r="55" s="50" customFormat="1"/>
    <row r="56" s="50" customFormat="1"/>
    <row r="57" s="50" customFormat="1"/>
    <row r="58" s="50" customFormat="1"/>
    <row r="59" s="50" customFormat="1"/>
    <row r="60" s="50" customFormat="1"/>
    <row r="61" s="50" customFormat="1"/>
    <row r="62" s="50" customFormat="1"/>
    <row r="63" s="50" customFormat="1"/>
    <row r="64" s="50" customFormat="1"/>
    <row r="65" s="50" customFormat="1"/>
    <row r="66" s="50" customFormat="1"/>
    <row r="67" s="50" customFormat="1"/>
    <row r="68" s="50" customFormat="1"/>
    <row r="69" s="50" customFormat="1"/>
    <row r="70" s="50" customFormat="1"/>
    <row r="71" s="50" customFormat="1"/>
    <row r="72" s="50" customFormat="1"/>
    <row r="73" s="50" customFormat="1"/>
    <row r="74" s="50" customFormat="1"/>
    <row r="75" s="50" customFormat="1"/>
    <row r="76" s="50" customFormat="1"/>
    <row r="77" s="50" customFormat="1"/>
    <row r="78" s="50" customFormat="1"/>
    <row r="79" s="50" customFormat="1"/>
    <row r="80" s="50" customFormat="1"/>
    <row r="81" s="50" customFormat="1"/>
    <row r="82" s="50" customFormat="1"/>
    <row r="83" s="50" customFormat="1"/>
    <row r="84" s="50" customFormat="1"/>
    <row r="85" s="50" customFormat="1"/>
    <row r="86" s="50" customFormat="1"/>
    <row r="87" s="50" customFormat="1"/>
    <row r="88" s="50" customFormat="1"/>
    <row r="89" s="50" customFormat="1"/>
    <row r="90" s="50" customFormat="1"/>
    <row r="91" s="50" customFormat="1"/>
    <row r="92" s="50" customFormat="1"/>
    <row r="93" s="50" customFormat="1"/>
    <row r="94" s="50" customFormat="1"/>
    <row r="95" s="50" customFormat="1"/>
    <row r="96" s="50" customFormat="1"/>
    <row r="97" s="50" customFormat="1"/>
    <row r="98" s="50" customFormat="1"/>
    <row r="99" s="50" customFormat="1"/>
    <row r="100" s="50" customFormat="1"/>
    <row r="101" s="50" customFormat="1"/>
    <row r="102" s="50" customFormat="1"/>
    <row r="103" s="50" customFormat="1"/>
    <row r="104" s="50" customFormat="1"/>
    <row r="105" s="50" customFormat="1"/>
    <row r="106" s="50" customFormat="1"/>
    <row r="107" s="50" customFormat="1"/>
    <row r="108" s="50" customFormat="1"/>
    <row r="109" s="50" customFormat="1"/>
    <row r="110" s="50" customFormat="1"/>
    <row r="111" s="50" customFormat="1"/>
    <row r="112" s="50" customFormat="1"/>
    <row r="113" s="50" customFormat="1"/>
    <row r="114" s="50" customFormat="1"/>
    <row r="115" s="50" customFormat="1"/>
    <row r="116" s="50" customFormat="1"/>
    <row r="117" s="50" customFormat="1"/>
    <row r="118" s="50" customFormat="1"/>
    <row r="119" s="50" customFormat="1"/>
    <row r="120" s="50" customFormat="1"/>
    <row r="121" s="50" customFormat="1"/>
    <row r="122" s="50" customFormat="1"/>
    <row r="123" s="50" customFormat="1"/>
    <row r="124" s="50" customFormat="1"/>
    <row r="125" s="50" customFormat="1"/>
    <row r="126" s="50" customFormat="1"/>
    <row r="127" s="50" customFormat="1"/>
    <row r="128" s="50" customFormat="1"/>
    <row r="129" s="50" customFormat="1"/>
    <row r="130" s="50" customFormat="1"/>
    <row r="131" s="50" customFormat="1"/>
    <row r="132" s="50" customFormat="1"/>
    <row r="133" s="50" customFormat="1"/>
    <row r="134" s="50" customFormat="1"/>
    <row r="135" s="50" customFormat="1"/>
    <row r="136" s="50" customFormat="1"/>
    <row r="137" s="50" customFormat="1"/>
    <row r="138" s="50" customFormat="1"/>
    <row r="139" s="50" customFormat="1"/>
    <row r="140" s="50" customFormat="1"/>
    <row r="141" s="50" customFormat="1"/>
    <row r="142" s="50" customFormat="1"/>
    <row r="143" s="50" customFormat="1"/>
    <row r="144" s="50" customFormat="1"/>
    <row r="145" s="50" customFormat="1"/>
    <row r="146" s="50" customFormat="1"/>
    <row r="147" s="50" customFormat="1"/>
    <row r="148" s="50" customFormat="1"/>
    <row r="149" s="50" customFormat="1"/>
    <row r="150" s="50" customFormat="1"/>
    <row r="151" s="50" customFormat="1"/>
    <row r="152" s="50" customFormat="1"/>
    <row r="153" s="50" customFormat="1"/>
    <row r="154" s="50" customFormat="1"/>
    <row r="155" s="50" customFormat="1"/>
    <row r="156" s="50" customFormat="1"/>
    <row r="157" s="50" customFormat="1"/>
    <row r="158" s="50" customFormat="1"/>
    <row r="159" s="50" customFormat="1"/>
    <row r="160" s="50" customFormat="1"/>
    <row r="161" s="50" customFormat="1"/>
    <row r="162" s="50" customFormat="1"/>
    <row r="163" s="50" customFormat="1"/>
    <row r="164" s="50" customFormat="1"/>
    <row r="165" s="50" customFormat="1"/>
    <row r="166" s="50" customFormat="1"/>
    <row r="167" s="50" customFormat="1"/>
    <row r="168" s="50" customFormat="1"/>
    <row r="169" s="50" customFormat="1"/>
    <row r="170" s="50" customFormat="1"/>
    <row r="171" s="50" customFormat="1"/>
    <row r="172" s="50" customFormat="1"/>
    <row r="173" s="50" customFormat="1"/>
    <row r="174" s="50" customFormat="1"/>
    <row r="175" s="50" customFormat="1"/>
    <row r="176" s="50" customFormat="1"/>
    <row r="177" s="50" customFormat="1"/>
    <row r="178" s="50" customFormat="1"/>
    <row r="179" s="50" customFormat="1"/>
    <row r="180" s="50" customFormat="1"/>
    <row r="181" s="50" customFormat="1"/>
    <row r="182" s="50" customFormat="1"/>
    <row r="183" s="50" customFormat="1"/>
    <row r="184" s="50" customFormat="1"/>
    <row r="185" s="50" customFormat="1"/>
    <row r="186" s="50" customFormat="1"/>
    <row r="187" s="50" customFormat="1"/>
    <row r="188" s="50" customFormat="1"/>
    <row r="189" s="50" customFormat="1"/>
    <row r="190" s="50" customFormat="1"/>
  </sheetData>
  <sheetProtection sheet="1" objects="1" scenarios="1"/>
  <mergeCells count="3">
    <mergeCell ref="B3:F3"/>
    <mergeCell ref="E23:F23"/>
    <mergeCell ref="E28:F28"/>
  </mergeCells>
  <conditionalFormatting sqref="A33:A1048576 A16:A25">
    <cfRule type="containsText" dxfId="48" priority="6" operator="containsText" text="#">
      <formula>NOT(ISERROR(SEARCH("#",A16)))</formula>
    </cfRule>
  </conditionalFormatting>
  <conditionalFormatting sqref="A5:A15">
    <cfRule type="containsText" dxfId="47" priority="1" operator="containsText" text="#">
      <formula>NOT(ISERROR(SEARCH("#",A5)))</formula>
    </cfRule>
  </conditionalFormatting>
  <dataValidations count="10">
    <dataValidation type="list" allowBlank="1" showInputMessage="1" showErrorMessage="1" sqref="C26" xr:uid="{00000000-0002-0000-0600-000001000000}">
      <formula1>"small,medium,large"</formula1>
    </dataValidation>
    <dataValidation type="list" allowBlank="1" showInputMessage="1" showErrorMessage="1" sqref="C23:C24" xr:uid="{00000000-0002-0000-0600-000003000000}">
      <formula1>"tiny,small,medium,large"</formula1>
    </dataValidation>
    <dataValidation type="list" allowBlank="1" showInputMessage="1" showErrorMessage="1" sqref="F29:F31 F24:F26" xr:uid="{00000000-0002-0000-0600-000004000000}">
      <formula1>"compact,large,xlarge"</formula1>
    </dataValidation>
    <dataValidation type="list" allowBlank="1" showInputMessage="1" showErrorMessage="1" sqref="C16 F15 F11:F13 C10:C11 F19 F14" xr:uid="{00000000-0002-0000-0600-000006000000}">
      <formula1>"Yes,No"</formula1>
    </dataValidation>
    <dataValidation type="list" allowBlank="1" showInputMessage="1" showErrorMessage="1" sqref="C28" xr:uid="{00000000-0002-0000-0600-000002000000}">
      <formula1>"smallrc,largerc"</formula1>
    </dataValidation>
    <dataValidation type="list" allowBlank="1" showInputMessage="1" showErrorMessage="1" promptTitle="vRealize Automation Tenant" prompt="Setting value to YES instructs Cloud Builder perform the vRealize Automation Tenant Configuration. Components such as Business Groups, Machine Prefixes and Reservations as they relate to the VVD will be configured. NOTE: This may not align to customer req" sqref="F17" xr:uid="{F79EAFA3-8FC7-7843-A9BB-36C77887BF11}">
      <formula1>"Yes,No"</formula1>
    </dataValidation>
    <dataValidation type="list" allowBlank="1" showInputMessage="1" showErrorMessage="1" promptTitle="vRealize Operations Manager" prompt="vRealize Operations Manager is deployed through vRealize Suite Lifecycle Manager, if you are not deploying vRealize Suite Lifecycle Manager then you cannot deply vRealize Operations Manager" sqref="C9" xr:uid="{4F2414CC-0805-5740-B76E-75DE818FA5AA}">
      <formula1>"Yes,No"</formula1>
    </dataValidation>
    <dataValidation type="list" allowBlank="1" showInputMessage="1" showErrorMessage="1" promptTitle="vRealize Automation" prompt="vRealize Automation is deployed through vRealize Suite Lifecycle Manager, if you are not deploying vRealize Suite Lifecycle Manager then you cannot deply vRealize Automation" sqref="C13" xr:uid="{4964DDB8-345E-6048-A156-808DA72EE389}">
      <formula1>"Yes,No"</formula1>
    </dataValidation>
    <dataValidation type="list" allowBlank="1" showInputMessage="1" showErrorMessage="1" promptTitle="vRealize Business for Cloud" prompt="vRealize Business for Cloud is deployed through vRealize Suite Lifecycle Manager, if you are not deploying vRealize Suite Lifecycle Manager then you cannot deply vRealize Business for Cloud" sqref="C14" xr:uid="{0C1652B4-3704-D940-9B67-1C897F0F7E7B}">
      <formula1>"Yes,No"</formula1>
    </dataValidation>
    <dataValidation type="list" allowBlank="1" showInputMessage="1" showErrorMessage="1" promptTitle="Deploy without a VSAN Datastore" prompt="If you want to deploy without a VSAN datastore you must ensure you meet the minimum requirements:_x000a_- Pre-existing datastore mounted such as NFS, Fibre Channel_x000a_- Minimum of 3 hosts" sqref="F8 F9" xr:uid="{13567474-728C-6940-8399-C340D837F454}">
      <formula1>"Yes,No"</formula1>
    </dataValidation>
  </dataValidation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3F7B-EBEE-FC4A-B42F-1779D6492FFC}">
  <dimension ref="A1:F131"/>
  <sheetViews>
    <sheetView workbookViewId="0">
      <selection activeCell="D1" sqref="D1"/>
    </sheetView>
  </sheetViews>
  <sheetFormatPr baseColWidth="10" defaultColWidth="10.83203125" defaultRowHeight="15"/>
  <cols>
    <col min="1" max="1" width="27.6640625" style="110" customWidth="1"/>
    <col min="2" max="2" width="2.83203125" style="110" customWidth="1"/>
    <col min="3" max="3" width="13.1640625" style="114" customWidth="1"/>
    <col min="4" max="4" width="42.1640625" style="110" bestFit="1" customWidth="1"/>
    <col min="5" max="5" width="10.83203125" style="110"/>
    <col min="6" max="6" width="21.1640625" style="110" bestFit="1" customWidth="1"/>
    <col min="7" max="16384" width="10.83203125" style="110"/>
  </cols>
  <sheetData>
    <row r="1" spans="1:6">
      <c r="A1" s="109" t="s">
        <v>766</v>
      </c>
      <c r="C1" s="111" t="s">
        <v>767</v>
      </c>
      <c r="D1" s="112" t="s">
        <v>768</v>
      </c>
      <c r="F1" s="112" t="s">
        <v>769</v>
      </c>
    </row>
    <row r="2" spans="1:6">
      <c r="A2" s="110" t="s">
        <v>770</v>
      </c>
      <c r="C2" s="113">
        <v>0</v>
      </c>
      <c r="D2" s="110" t="s">
        <v>771</v>
      </c>
      <c r="F2" s="110" t="s">
        <v>10</v>
      </c>
    </row>
    <row r="3" spans="1:6">
      <c r="A3" s="110" t="s">
        <v>772</v>
      </c>
      <c r="C3" s="113">
        <v>1</v>
      </c>
      <c r="D3" s="110" t="s">
        <v>773</v>
      </c>
      <c r="F3" s="110" t="s">
        <v>774</v>
      </c>
    </row>
    <row r="4" spans="1:6">
      <c r="A4" s="110" t="s">
        <v>775</v>
      </c>
      <c r="C4" s="113">
        <v>2</v>
      </c>
      <c r="D4" s="110" t="s">
        <v>776</v>
      </c>
      <c r="F4" s="110" t="s">
        <v>777</v>
      </c>
    </row>
    <row r="5" spans="1:6">
      <c r="A5" s="110" t="s">
        <v>778</v>
      </c>
      <c r="C5" s="113">
        <v>3</v>
      </c>
      <c r="D5" s="110" t="s">
        <v>779</v>
      </c>
      <c r="F5" s="110" t="s">
        <v>780</v>
      </c>
    </row>
    <row r="6" spans="1:6">
      <c r="A6" s="110" t="s">
        <v>781</v>
      </c>
      <c r="C6" s="113">
        <v>4</v>
      </c>
      <c r="D6" s="110" t="s">
        <v>782</v>
      </c>
      <c r="F6" s="110" t="s">
        <v>783</v>
      </c>
    </row>
    <row r="7" spans="1:6">
      <c r="A7" s="110" t="s">
        <v>784</v>
      </c>
      <c r="C7" s="113">
        <v>10</v>
      </c>
      <c r="D7" s="110" t="s">
        <v>785</v>
      </c>
      <c r="F7" s="110" t="s">
        <v>786</v>
      </c>
    </row>
    <row r="8" spans="1:6">
      <c r="A8" s="110" t="s">
        <v>787</v>
      </c>
      <c r="C8" s="113">
        <v>13</v>
      </c>
      <c r="D8" s="110" t="s">
        <v>788</v>
      </c>
      <c r="F8" s="110" t="s">
        <v>789</v>
      </c>
    </row>
    <row r="9" spans="1:6">
      <c r="A9" s="110" t="s">
        <v>790</v>
      </c>
      <c r="C9" s="113">
        <v>15</v>
      </c>
      <c r="D9" s="110" t="s">
        <v>791</v>
      </c>
      <c r="F9" s="110" t="s">
        <v>792</v>
      </c>
    </row>
    <row r="10" spans="1:6">
      <c r="A10" s="110" t="s">
        <v>793</v>
      </c>
      <c r="C10" s="113">
        <v>20</v>
      </c>
      <c r="D10" s="110" t="s">
        <v>794</v>
      </c>
      <c r="F10" s="110" t="s">
        <v>795</v>
      </c>
    </row>
    <row r="11" spans="1:6">
      <c r="A11" s="110" t="s">
        <v>796</v>
      </c>
      <c r="C11" s="113">
        <v>25</v>
      </c>
      <c r="D11" s="110" t="s">
        <v>797</v>
      </c>
      <c r="F11" s="110" t="s">
        <v>798</v>
      </c>
    </row>
    <row r="12" spans="1:6">
      <c r="A12" s="110" t="s">
        <v>799</v>
      </c>
      <c r="C12" s="113">
        <v>30</v>
      </c>
      <c r="D12" s="110" t="s">
        <v>800</v>
      </c>
      <c r="F12" s="110" t="s">
        <v>801</v>
      </c>
    </row>
    <row r="13" spans="1:6">
      <c r="A13" s="110" t="s">
        <v>802</v>
      </c>
      <c r="C13" s="113">
        <v>33</v>
      </c>
      <c r="D13" s="110" t="s">
        <v>803</v>
      </c>
      <c r="F13" s="110" t="s">
        <v>804</v>
      </c>
    </row>
    <row r="14" spans="1:6">
      <c r="A14" s="110" t="s">
        <v>805</v>
      </c>
      <c r="C14" s="113">
        <v>35</v>
      </c>
      <c r="D14" s="110" t="s">
        <v>806</v>
      </c>
      <c r="F14" s="110" t="s">
        <v>807</v>
      </c>
    </row>
    <row r="15" spans="1:6">
      <c r="A15" s="110" t="s">
        <v>808</v>
      </c>
      <c r="C15" s="113">
        <v>40</v>
      </c>
      <c r="D15" s="110" t="s">
        <v>809</v>
      </c>
      <c r="F15" s="110" t="s">
        <v>810</v>
      </c>
    </row>
    <row r="16" spans="1:6">
      <c r="A16" s="110" t="s">
        <v>811</v>
      </c>
      <c r="C16" s="113">
        <v>45</v>
      </c>
      <c r="D16" s="110" t="s">
        <v>812</v>
      </c>
    </row>
    <row r="17" spans="1:4">
      <c r="A17" s="110" t="s">
        <v>813</v>
      </c>
      <c r="C17" s="113">
        <v>50</v>
      </c>
      <c r="D17" s="110" t="s">
        <v>814</v>
      </c>
    </row>
    <row r="18" spans="1:4">
      <c r="A18" s="110" t="s">
        <v>815</v>
      </c>
      <c r="C18" s="113">
        <v>55</v>
      </c>
      <c r="D18" s="110" t="s">
        <v>816</v>
      </c>
    </row>
    <row r="19" spans="1:4">
      <c r="A19" s="110" t="s">
        <v>817</v>
      </c>
      <c r="C19" s="113">
        <v>56</v>
      </c>
      <c r="D19" s="110" t="s">
        <v>818</v>
      </c>
    </row>
    <row r="20" spans="1:4">
      <c r="A20" s="110" t="s">
        <v>819</v>
      </c>
      <c r="C20" s="113">
        <v>60</v>
      </c>
      <c r="D20" s="110" t="s">
        <v>820</v>
      </c>
    </row>
    <row r="21" spans="1:4">
      <c r="A21" s="110" t="s">
        <v>821</v>
      </c>
      <c r="C21" s="113">
        <v>65</v>
      </c>
      <c r="D21" s="110" t="s">
        <v>822</v>
      </c>
    </row>
    <row r="22" spans="1:4">
      <c r="A22" s="110" t="s">
        <v>823</v>
      </c>
      <c r="C22" s="113">
        <v>70</v>
      </c>
      <c r="D22" s="110" t="s">
        <v>824</v>
      </c>
    </row>
    <row r="23" spans="1:4">
      <c r="A23" s="110" t="s">
        <v>825</v>
      </c>
      <c r="C23" s="113">
        <v>73</v>
      </c>
      <c r="D23" s="110" t="s">
        <v>826</v>
      </c>
    </row>
    <row r="24" spans="1:4">
      <c r="A24" s="110" t="s">
        <v>827</v>
      </c>
      <c r="C24" s="113">
        <v>75</v>
      </c>
      <c r="D24" s="110" t="s">
        <v>828</v>
      </c>
    </row>
    <row r="25" spans="1:4">
      <c r="A25" s="110" t="s">
        <v>829</v>
      </c>
      <c r="C25" s="113">
        <v>80</v>
      </c>
      <c r="D25" s="110" t="s">
        <v>830</v>
      </c>
    </row>
    <row r="26" spans="1:4">
      <c r="A26" s="110" t="s">
        <v>831</v>
      </c>
      <c r="C26" s="113">
        <v>83</v>
      </c>
      <c r="D26" s="110" t="s">
        <v>832</v>
      </c>
    </row>
    <row r="27" spans="1:4">
      <c r="A27" s="110" t="s">
        <v>833</v>
      </c>
      <c r="C27" s="113">
        <v>85</v>
      </c>
      <c r="D27" s="110" t="s">
        <v>834</v>
      </c>
    </row>
    <row r="28" spans="1:4">
      <c r="A28" s="110" t="s">
        <v>835</v>
      </c>
      <c r="C28" s="113">
        <v>90</v>
      </c>
      <c r="D28" s="110" t="s">
        <v>836</v>
      </c>
    </row>
    <row r="29" spans="1:4">
      <c r="A29" s="110" t="s">
        <v>837</v>
      </c>
      <c r="C29" s="113">
        <v>95</v>
      </c>
      <c r="D29" s="110" t="s">
        <v>838</v>
      </c>
    </row>
    <row r="30" spans="1:4">
      <c r="A30" s="110" t="s">
        <v>839</v>
      </c>
      <c r="C30" s="113">
        <v>100</v>
      </c>
      <c r="D30" s="110" t="s">
        <v>840</v>
      </c>
    </row>
    <row r="31" spans="1:4">
      <c r="A31" s="110" t="s">
        <v>841</v>
      </c>
      <c r="C31" s="113">
        <v>105</v>
      </c>
      <c r="D31" s="110" t="s">
        <v>842</v>
      </c>
    </row>
    <row r="32" spans="1:4">
      <c r="A32" s="110" t="s">
        <v>843</v>
      </c>
      <c r="C32" s="113">
        <v>110</v>
      </c>
      <c r="D32" s="110" t="s">
        <v>844</v>
      </c>
    </row>
    <row r="33" spans="1:4">
      <c r="A33" s="110" t="s">
        <v>845</v>
      </c>
      <c r="C33" s="113">
        <v>113</v>
      </c>
      <c r="D33" s="110" t="s">
        <v>846</v>
      </c>
    </row>
    <row r="34" spans="1:4">
      <c r="A34" s="110" t="s">
        <v>847</v>
      </c>
      <c r="C34" s="113">
        <v>115</v>
      </c>
      <c r="D34" s="110" t="s">
        <v>848</v>
      </c>
    </row>
    <row r="35" spans="1:4">
      <c r="A35" s="110" t="s">
        <v>849</v>
      </c>
      <c r="C35" s="113">
        <v>120</v>
      </c>
      <c r="D35" s="110" t="s">
        <v>850</v>
      </c>
    </row>
    <row r="36" spans="1:4">
      <c r="A36" s="110" t="s">
        <v>851</v>
      </c>
      <c r="C36" s="113">
        <v>125</v>
      </c>
      <c r="D36" s="110" t="s">
        <v>852</v>
      </c>
    </row>
    <row r="37" spans="1:4">
      <c r="A37" s="110" t="s">
        <v>853</v>
      </c>
      <c r="C37" s="113">
        <v>130</v>
      </c>
      <c r="D37" s="110" t="s">
        <v>854</v>
      </c>
    </row>
    <row r="38" spans="1:4">
      <c r="A38" s="110" t="s">
        <v>855</v>
      </c>
      <c r="C38" s="113">
        <v>135</v>
      </c>
      <c r="D38" s="110" t="s">
        <v>856</v>
      </c>
    </row>
    <row r="39" spans="1:4">
      <c r="A39" s="110" t="s">
        <v>857</v>
      </c>
      <c r="C39" s="113">
        <v>140</v>
      </c>
      <c r="D39" s="110" t="s">
        <v>858</v>
      </c>
    </row>
    <row r="40" spans="1:4">
      <c r="A40" s="110" t="s">
        <v>859</v>
      </c>
      <c r="C40" s="113">
        <v>145</v>
      </c>
      <c r="D40" s="110" t="s">
        <v>860</v>
      </c>
    </row>
    <row r="41" spans="1:4">
      <c r="A41" s="110" t="s">
        <v>861</v>
      </c>
      <c r="C41" s="113">
        <v>150</v>
      </c>
      <c r="D41" s="110" t="s">
        <v>862</v>
      </c>
    </row>
    <row r="42" spans="1:4">
      <c r="A42" s="110" t="s">
        <v>863</v>
      </c>
      <c r="C42" s="113">
        <v>155</v>
      </c>
      <c r="D42" s="110" t="s">
        <v>864</v>
      </c>
    </row>
    <row r="43" spans="1:4">
      <c r="A43" s="110" t="s">
        <v>865</v>
      </c>
      <c r="C43" s="113">
        <v>158</v>
      </c>
      <c r="D43" s="110" t="s">
        <v>866</v>
      </c>
    </row>
    <row r="44" spans="1:4">
      <c r="A44" s="110" t="s">
        <v>867</v>
      </c>
      <c r="C44" s="113">
        <v>160</v>
      </c>
      <c r="D44" s="110" t="s">
        <v>868</v>
      </c>
    </row>
    <row r="45" spans="1:4">
      <c r="A45" s="110" t="s">
        <v>869</v>
      </c>
      <c r="C45" s="113">
        <v>165</v>
      </c>
      <c r="D45" s="110" t="s">
        <v>870</v>
      </c>
    </row>
    <row r="46" spans="1:4">
      <c r="A46" s="110" t="s">
        <v>871</v>
      </c>
      <c r="C46" s="113">
        <v>170</v>
      </c>
      <c r="D46" s="110" t="s">
        <v>872</v>
      </c>
    </row>
    <row r="47" spans="1:4">
      <c r="A47" s="110" t="s">
        <v>873</v>
      </c>
      <c r="C47" s="113">
        <v>175</v>
      </c>
      <c r="D47" s="110" t="s">
        <v>874</v>
      </c>
    </row>
    <row r="48" spans="1:4">
      <c r="A48" s="110" t="s">
        <v>875</v>
      </c>
      <c r="C48" s="113">
        <v>180</v>
      </c>
      <c r="D48" s="110" t="s">
        <v>876</v>
      </c>
    </row>
    <row r="49" spans="1:4">
      <c r="A49" s="110" t="s">
        <v>877</v>
      </c>
      <c r="C49" s="113">
        <v>185</v>
      </c>
      <c r="D49" s="110" t="s">
        <v>878</v>
      </c>
    </row>
    <row r="50" spans="1:4">
      <c r="A50" s="110" t="s">
        <v>879</v>
      </c>
      <c r="C50" s="113">
        <v>190</v>
      </c>
      <c r="D50" s="110" t="s">
        <v>880</v>
      </c>
    </row>
    <row r="51" spans="1:4">
      <c r="A51" s="110" t="s">
        <v>881</v>
      </c>
      <c r="C51" s="113">
        <v>193</v>
      </c>
      <c r="D51" s="110" t="s">
        <v>882</v>
      </c>
    </row>
    <row r="52" spans="1:4">
      <c r="A52" s="110" t="s">
        <v>883</v>
      </c>
      <c r="C52" s="113">
        <v>195</v>
      </c>
      <c r="D52" s="110" t="s">
        <v>884</v>
      </c>
    </row>
    <row r="53" spans="1:4">
      <c r="A53" s="110" t="s">
        <v>885</v>
      </c>
      <c r="C53" s="113">
        <v>200</v>
      </c>
      <c r="D53" s="110" t="s">
        <v>886</v>
      </c>
    </row>
    <row r="54" spans="1:4">
      <c r="A54" s="110" t="s">
        <v>887</v>
      </c>
      <c r="C54" s="113">
        <v>201</v>
      </c>
      <c r="D54" s="110" t="s">
        <v>888</v>
      </c>
    </row>
    <row r="55" spans="1:4">
      <c r="A55" s="110" t="s">
        <v>889</v>
      </c>
      <c r="C55" s="113">
        <v>203</v>
      </c>
      <c r="D55" s="110" t="s">
        <v>890</v>
      </c>
    </row>
    <row r="56" spans="1:4">
      <c r="A56" s="110" t="s">
        <v>891</v>
      </c>
      <c r="C56" s="113">
        <v>205</v>
      </c>
      <c r="D56" s="110" t="s">
        <v>892</v>
      </c>
    </row>
    <row r="57" spans="1:4">
      <c r="A57" s="110" t="s">
        <v>893</v>
      </c>
      <c r="C57" s="113">
        <v>207</v>
      </c>
      <c r="D57" s="110" t="s">
        <v>894</v>
      </c>
    </row>
    <row r="58" spans="1:4">
      <c r="A58" s="110" t="s">
        <v>895</v>
      </c>
      <c r="C58" s="113">
        <v>210</v>
      </c>
      <c r="D58" s="110" t="s">
        <v>896</v>
      </c>
    </row>
    <row r="59" spans="1:4">
      <c r="A59" s="110" t="s">
        <v>897</v>
      </c>
      <c r="C59" s="113">
        <v>215</v>
      </c>
      <c r="D59" s="110" t="s">
        <v>898</v>
      </c>
    </row>
    <row r="60" spans="1:4">
      <c r="A60" s="110" t="s">
        <v>899</v>
      </c>
      <c r="C60" s="113">
        <v>220</v>
      </c>
      <c r="D60" s="110" t="s">
        <v>900</v>
      </c>
    </row>
    <row r="61" spans="1:4">
      <c r="A61" s="110" t="s">
        <v>901</v>
      </c>
      <c r="C61" s="113">
        <v>225</v>
      </c>
      <c r="D61" s="110" t="s">
        <v>902</v>
      </c>
    </row>
    <row r="62" spans="1:4">
      <c r="A62" s="110" t="s">
        <v>903</v>
      </c>
      <c r="C62" s="113">
        <v>227</v>
      </c>
      <c r="D62" s="110" t="s">
        <v>904</v>
      </c>
    </row>
    <row r="63" spans="1:4">
      <c r="A63" s="110" t="s">
        <v>905</v>
      </c>
      <c r="C63" s="113">
        <v>230</v>
      </c>
      <c r="D63" s="110" t="s">
        <v>906</v>
      </c>
    </row>
    <row r="64" spans="1:4">
      <c r="A64" s="110" t="s">
        <v>907</v>
      </c>
      <c r="C64" s="113">
        <v>235</v>
      </c>
      <c r="D64" s="110" t="s">
        <v>908</v>
      </c>
    </row>
    <row r="65" spans="1:4">
      <c r="A65" s="110" t="s">
        <v>909</v>
      </c>
      <c r="C65" s="113">
        <v>240</v>
      </c>
      <c r="D65" s="110" t="s">
        <v>910</v>
      </c>
    </row>
    <row r="66" spans="1:4">
      <c r="A66" s="110" t="s">
        <v>911</v>
      </c>
      <c r="C66" s="113">
        <v>245</v>
      </c>
      <c r="D66" s="110" t="s">
        <v>912</v>
      </c>
    </row>
    <row r="67" spans="1:4">
      <c r="A67" s="110" t="s">
        <v>913</v>
      </c>
      <c r="C67" s="113">
        <v>250</v>
      </c>
      <c r="D67" s="110" t="s">
        <v>914</v>
      </c>
    </row>
    <row r="68" spans="1:4">
      <c r="A68" s="110" t="s">
        <v>915</v>
      </c>
      <c r="C68" s="113">
        <v>255</v>
      </c>
      <c r="D68" s="110" t="s">
        <v>916</v>
      </c>
    </row>
    <row r="69" spans="1:4">
      <c r="A69" s="110" t="s">
        <v>917</v>
      </c>
      <c r="C69" s="113">
        <v>260</v>
      </c>
      <c r="D69" s="110" t="s">
        <v>918</v>
      </c>
    </row>
    <row r="70" spans="1:4">
      <c r="A70" s="110" t="s">
        <v>919</v>
      </c>
      <c r="C70" s="113">
        <v>265</v>
      </c>
      <c r="D70" s="110" t="s">
        <v>920</v>
      </c>
    </row>
    <row r="71" spans="1:4">
      <c r="A71" s="110" t="s">
        <v>921</v>
      </c>
      <c r="C71" s="113">
        <v>270</v>
      </c>
      <c r="D71" s="110" t="s">
        <v>922</v>
      </c>
    </row>
    <row r="72" spans="1:4">
      <c r="A72" s="110" t="s">
        <v>923</v>
      </c>
      <c r="C72" s="113">
        <v>275</v>
      </c>
      <c r="D72" s="110" t="s">
        <v>924</v>
      </c>
    </row>
    <row r="73" spans="1:4">
      <c r="A73" s="110" t="s">
        <v>925</v>
      </c>
      <c r="C73" s="113">
        <v>280</v>
      </c>
      <c r="D73" s="110" t="s">
        <v>926</v>
      </c>
    </row>
    <row r="74" spans="1:4">
      <c r="A74" s="110" t="s">
        <v>927</v>
      </c>
      <c r="C74" s="113">
        <v>285</v>
      </c>
      <c r="D74" s="110" t="s">
        <v>928</v>
      </c>
    </row>
    <row r="75" spans="1:4">
      <c r="A75" s="110" t="s">
        <v>929</v>
      </c>
      <c r="C75" s="113">
        <v>290</v>
      </c>
      <c r="D75" s="110" t="s">
        <v>930</v>
      </c>
    </row>
    <row r="76" spans="1:4">
      <c r="A76" s="110" t="s">
        <v>931</v>
      </c>
      <c r="C76" s="113">
        <v>300</v>
      </c>
      <c r="D76" s="110" t="s">
        <v>932</v>
      </c>
    </row>
    <row r="77" spans="1:4">
      <c r="A77" s="110" t="s">
        <v>933</v>
      </c>
    </row>
    <row r="78" spans="1:4">
      <c r="A78" s="110" t="s">
        <v>934</v>
      </c>
    </row>
    <row r="79" spans="1:4">
      <c r="A79" s="110" t="s">
        <v>935</v>
      </c>
    </row>
    <row r="80" spans="1:4">
      <c r="A80" s="110" t="s">
        <v>936</v>
      </c>
    </row>
    <row r="81" spans="1:1">
      <c r="A81" s="110" t="s">
        <v>937</v>
      </c>
    </row>
    <row r="82" spans="1:1">
      <c r="A82" s="110" t="s">
        <v>938</v>
      </c>
    </row>
    <row r="83" spans="1:1">
      <c r="A83" s="110" t="s">
        <v>939</v>
      </c>
    </row>
    <row r="84" spans="1:1">
      <c r="A84" s="110" t="s">
        <v>940</v>
      </c>
    </row>
    <row r="85" spans="1:1">
      <c r="A85" s="110" t="s">
        <v>941</v>
      </c>
    </row>
    <row r="86" spans="1:1">
      <c r="A86" s="110" t="s">
        <v>942</v>
      </c>
    </row>
    <row r="87" spans="1:1">
      <c r="A87" s="110" t="s">
        <v>943</v>
      </c>
    </row>
    <row r="88" spans="1:1">
      <c r="A88" s="110" t="s">
        <v>944</v>
      </c>
    </row>
    <row r="89" spans="1:1">
      <c r="A89" s="110" t="s">
        <v>945</v>
      </c>
    </row>
    <row r="90" spans="1:1">
      <c r="A90" s="110" t="s">
        <v>946</v>
      </c>
    </row>
    <row r="91" spans="1:1">
      <c r="A91" s="110" t="s">
        <v>947</v>
      </c>
    </row>
    <row r="92" spans="1:1">
      <c r="A92" s="110" t="s">
        <v>948</v>
      </c>
    </row>
    <row r="93" spans="1:1">
      <c r="A93" s="110" t="s">
        <v>949</v>
      </c>
    </row>
    <row r="94" spans="1:1">
      <c r="A94" s="110" t="s">
        <v>950</v>
      </c>
    </row>
    <row r="95" spans="1:1">
      <c r="A95" s="110" t="s">
        <v>951</v>
      </c>
    </row>
    <row r="96" spans="1:1">
      <c r="A96" s="110" t="s">
        <v>952</v>
      </c>
    </row>
    <row r="97" spans="1:1">
      <c r="A97" s="110" t="s">
        <v>953</v>
      </c>
    </row>
    <row r="98" spans="1:1">
      <c r="A98" s="110" t="s">
        <v>954</v>
      </c>
    </row>
    <row r="99" spans="1:1">
      <c r="A99" s="110" t="s">
        <v>955</v>
      </c>
    </row>
    <row r="100" spans="1:1">
      <c r="A100" s="110" t="s">
        <v>956</v>
      </c>
    </row>
    <row r="101" spans="1:1">
      <c r="A101" s="110" t="s">
        <v>957</v>
      </c>
    </row>
    <row r="102" spans="1:1">
      <c r="A102" s="110" t="s">
        <v>958</v>
      </c>
    </row>
    <row r="103" spans="1:1">
      <c r="A103" s="110" t="s">
        <v>959</v>
      </c>
    </row>
    <row r="104" spans="1:1">
      <c r="A104" s="110" t="s">
        <v>960</v>
      </c>
    </row>
    <row r="105" spans="1:1">
      <c r="A105" s="110" t="s">
        <v>961</v>
      </c>
    </row>
    <row r="106" spans="1:1">
      <c r="A106" s="110" t="s">
        <v>962</v>
      </c>
    </row>
    <row r="107" spans="1:1">
      <c r="A107" s="110" t="s">
        <v>963</v>
      </c>
    </row>
    <row r="108" spans="1:1">
      <c r="A108" s="110" t="s">
        <v>964</v>
      </c>
    </row>
    <row r="109" spans="1:1">
      <c r="A109" s="110" t="s">
        <v>965</v>
      </c>
    </row>
    <row r="110" spans="1:1">
      <c r="A110" s="110" t="s">
        <v>966</v>
      </c>
    </row>
    <row r="111" spans="1:1">
      <c r="A111" s="110" t="s">
        <v>967</v>
      </c>
    </row>
    <row r="112" spans="1:1">
      <c r="A112" s="110" t="s">
        <v>968</v>
      </c>
    </row>
    <row r="113" spans="1:1">
      <c r="A113" s="110" t="s">
        <v>969</v>
      </c>
    </row>
    <row r="114" spans="1:1">
      <c r="A114" s="110" t="s">
        <v>970</v>
      </c>
    </row>
    <row r="115" spans="1:1">
      <c r="A115" s="110" t="s">
        <v>971</v>
      </c>
    </row>
    <row r="116" spans="1:1">
      <c r="A116" s="110" t="s">
        <v>972</v>
      </c>
    </row>
    <row r="117" spans="1:1">
      <c r="A117" s="110" t="s">
        <v>973</v>
      </c>
    </row>
    <row r="118" spans="1:1">
      <c r="A118" s="110" t="s">
        <v>974</v>
      </c>
    </row>
    <row r="119" spans="1:1">
      <c r="A119" s="110" t="s">
        <v>975</v>
      </c>
    </row>
    <row r="120" spans="1:1">
      <c r="A120" s="110" t="s">
        <v>976</v>
      </c>
    </row>
    <row r="121" spans="1:1">
      <c r="A121" s="110" t="s">
        <v>977</v>
      </c>
    </row>
    <row r="122" spans="1:1">
      <c r="A122" s="110" t="s">
        <v>978</v>
      </c>
    </row>
    <row r="123" spans="1:1">
      <c r="A123" s="110" t="s">
        <v>979</v>
      </c>
    </row>
    <row r="124" spans="1:1">
      <c r="A124" s="110" t="s">
        <v>980</v>
      </c>
    </row>
    <row r="125" spans="1:1">
      <c r="A125" s="110" t="s">
        <v>981</v>
      </c>
    </row>
    <row r="126" spans="1:1">
      <c r="A126" s="110" t="s">
        <v>982</v>
      </c>
    </row>
    <row r="127" spans="1:1">
      <c r="A127" s="110" t="s">
        <v>983</v>
      </c>
    </row>
    <row r="128" spans="1:1">
      <c r="A128" s="110" t="s">
        <v>984</v>
      </c>
    </row>
    <row r="129" spans="1:1">
      <c r="A129" s="110" t="s">
        <v>985</v>
      </c>
    </row>
    <row r="130" spans="1:1">
      <c r="A130" s="110" t="s">
        <v>986</v>
      </c>
    </row>
    <row r="131" spans="1:1">
      <c r="A131" s="110" t="s">
        <v>987</v>
      </c>
    </row>
  </sheetData>
  <sheetProtection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805B-2A90-514D-BA31-DF506045A647}">
  <dimension ref="A1:O27"/>
  <sheetViews>
    <sheetView zoomScale="115" zoomScaleNormal="115" workbookViewId="0"/>
  </sheetViews>
  <sheetFormatPr baseColWidth="10" defaultColWidth="11.5" defaultRowHeight="13"/>
  <cols>
    <col min="1" max="1" width="26.5" style="49" customWidth="1"/>
    <col min="2" max="12" width="14.33203125" style="49" customWidth="1"/>
    <col min="13" max="13" width="18.33203125" style="49" customWidth="1"/>
    <col min="14" max="15" width="14.33203125" style="49" customWidth="1"/>
    <col min="16" max="16384" width="11.5" style="49"/>
  </cols>
  <sheetData>
    <row r="1" spans="1:15" ht="16" customHeight="1">
      <c r="A1" s="239" t="s">
        <v>289</v>
      </c>
      <c r="B1" s="239" t="s">
        <v>632</v>
      </c>
      <c r="C1" s="239" t="s">
        <v>633</v>
      </c>
      <c r="D1" s="239" t="s">
        <v>634</v>
      </c>
      <c r="E1" s="239" t="s">
        <v>635</v>
      </c>
      <c r="F1" s="239" t="s">
        <v>636</v>
      </c>
      <c r="G1" s="239" t="s">
        <v>637</v>
      </c>
      <c r="H1" s="239" t="s">
        <v>638</v>
      </c>
      <c r="I1" s="239" t="s">
        <v>639</v>
      </c>
      <c r="J1" s="239" t="s">
        <v>640</v>
      </c>
      <c r="K1" s="239" t="s">
        <v>641</v>
      </c>
      <c r="L1" s="239" t="s">
        <v>642</v>
      </c>
      <c r="M1" s="239" t="s">
        <v>643</v>
      </c>
      <c r="N1" s="239" t="s">
        <v>644</v>
      </c>
      <c r="O1" s="239" t="s">
        <v>645</v>
      </c>
    </row>
    <row r="2" spans="1:15" ht="16" customHeight="1">
      <c r="A2" s="104" t="s">
        <v>646</v>
      </c>
      <c r="B2" s="105" t="str">
        <f>IF('Hosts and Networks'!H7&lt;&gt;"n/a",MID('Hosts and Networks'!H7,1,(FIND(".",'Hosts and Networks'!H7)-1)),'Hosts and Networks'!H7)</f>
        <v>lax01m01esx01</v>
      </c>
      <c r="C2" s="106"/>
      <c r="D2" s="106"/>
      <c r="E2" s="106"/>
      <c r="F2" s="106"/>
      <c r="G2" s="106"/>
      <c r="H2" s="106"/>
      <c r="I2" s="106"/>
      <c r="J2" s="106"/>
      <c r="K2" s="106"/>
      <c r="L2" s="106"/>
      <c r="M2" s="105" t="str">
        <f>IF('Deploy Parameters'!$J$7="n/a",'Deploy Parameters'!$J$6,'Deploy Parameters'!$J$7)</f>
        <v>lax01.rainpole.local</v>
      </c>
      <c r="N2" s="106"/>
      <c r="O2" s="105" t="str">
        <f>IF(B2&lt;&gt;"n/a",B2,"")</f>
        <v>lax01m01esx01</v>
      </c>
    </row>
    <row r="3" spans="1:15" ht="16" customHeight="1">
      <c r="A3" s="104" t="s">
        <v>647</v>
      </c>
      <c r="B3" s="105" t="str">
        <f>IF('Hosts and Networks'!I7&lt;&gt;"n/a",MID('Hosts and Networks'!I7,1,(FIND(".",'Hosts and Networks'!I7)-1)),'Hosts and Networks'!I7)</f>
        <v>lax01m01esx02</v>
      </c>
      <c r="C3" s="106"/>
      <c r="D3" s="106"/>
      <c r="E3" s="106"/>
      <c r="F3" s="106"/>
      <c r="G3" s="106"/>
      <c r="H3" s="106"/>
      <c r="I3" s="106"/>
      <c r="J3" s="106"/>
      <c r="K3" s="106"/>
      <c r="L3" s="106"/>
      <c r="M3" s="105" t="str">
        <f>IF('Deploy Parameters'!$J$7="n/a",'Deploy Parameters'!$J$6,'Deploy Parameters'!$J$7)</f>
        <v>lax01.rainpole.local</v>
      </c>
      <c r="N3" s="106"/>
      <c r="O3" s="105" t="str">
        <f t="shared" ref="O3:O27" si="0">IF(B3&lt;&gt;"n/a",B3,"")</f>
        <v>lax01m01esx02</v>
      </c>
    </row>
    <row r="4" spans="1:15" ht="16" customHeight="1">
      <c r="A4" s="104" t="s">
        <v>648</v>
      </c>
      <c r="B4" s="105" t="str">
        <f>IF('Hosts and Networks'!J7&lt;&gt;"n/a",MID('Hosts and Networks'!J7,1,(FIND(".",'Hosts and Networks'!J7)-1)),'Hosts and Networks'!J7)</f>
        <v>lax01m01esx03</v>
      </c>
      <c r="C4" s="106"/>
      <c r="D4" s="106"/>
      <c r="E4" s="106"/>
      <c r="F4" s="106"/>
      <c r="G4" s="106"/>
      <c r="H4" s="106"/>
      <c r="I4" s="106"/>
      <c r="J4" s="106"/>
      <c r="K4" s="106"/>
      <c r="L4" s="106"/>
      <c r="M4" s="105" t="str">
        <f>IF('Deploy Parameters'!$J$7="n/a",'Deploy Parameters'!$J$6,'Deploy Parameters'!$J$7)</f>
        <v>lax01.rainpole.local</v>
      </c>
      <c r="N4" s="106"/>
      <c r="O4" s="105" t="str">
        <f t="shared" si="0"/>
        <v>lax01m01esx03</v>
      </c>
    </row>
    <row r="5" spans="1:15" ht="16" customHeight="1">
      <c r="A5" s="104" t="s">
        <v>649</v>
      </c>
      <c r="B5" s="105" t="str">
        <f>IF('Hosts and Networks'!K7&lt;&gt;"n/a",MID('Hosts and Networks'!K7,1,(FIND(".",'Hosts and Networks'!K7)-1)),'Hosts and Networks'!K7)</f>
        <v>lax01m01esx04</v>
      </c>
      <c r="C5" s="106"/>
      <c r="D5" s="106"/>
      <c r="E5" s="106"/>
      <c r="F5" s="106"/>
      <c r="G5" s="106"/>
      <c r="H5" s="106"/>
      <c r="I5" s="106"/>
      <c r="J5" s="106"/>
      <c r="K5" s="106"/>
      <c r="L5" s="106"/>
      <c r="M5" s="105" t="str">
        <f>IF('Deploy Parameters'!$J$7="n/a",'Deploy Parameters'!$J$6,'Deploy Parameters'!$J$7)</f>
        <v>lax01.rainpole.local</v>
      </c>
      <c r="N5" s="106"/>
      <c r="O5" s="105" t="str">
        <f t="shared" si="0"/>
        <v>lax01m01esx04</v>
      </c>
    </row>
    <row r="6" spans="1:15" ht="16" customHeight="1">
      <c r="A6" s="104" t="s">
        <v>650</v>
      </c>
      <c r="B6" s="105" t="str">
        <f>IF('Hosts and Networks'!L7&lt;&gt;"n/a",MID('Hosts and Networks'!L7,1,(FIND(".",'Hosts and Networks'!L7)-1)),'Hosts and Networks'!L7)</f>
        <v>n/a</v>
      </c>
      <c r="C6" s="106"/>
      <c r="D6" s="106"/>
      <c r="E6" s="106"/>
      <c r="F6" s="106"/>
      <c r="G6" s="106"/>
      <c r="H6" s="106"/>
      <c r="I6" s="106"/>
      <c r="J6" s="106"/>
      <c r="K6" s="106"/>
      <c r="L6" s="106"/>
      <c r="M6" s="105" t="str">
        <f>IF('Deploy Parameters'!$J$7="n/a",'Deploy Parameters'!$J$6,'Deploy Parameters'!$J$7)</f>
        <v>lax01.rainpole.local</v>
      </c>
      <c r="N6" s="106"/>
      <c r="O6" s="105" t="str">
        <f t="shared" si="0"/>
        <v/>
      </c>
    </row>
    <row r="7" spans="1:15" ht="16" customHeight="1">
      <c r="A7" s="104" t="s">
        <v>651</v>
      </c>
      <c r="B7" s="105" t="str">
        <f>IF('Hosts and Networks'!M7&lt;&gt;"n/a",MID('Hosts and Networks'!M7,1,(FIND(".",'Hosts and Networks'!M7)-1)),'Hosts and Networks'!M7)</f>
        <v>n/a</v>
      </c>
      <c r="C7" s="106"/>
      <c r="D7" s="106"/>
      <c r="E7" s="106"/>
      <c r="F7" s="106"/>
      <c r="G7" s="106"/>
      <c r="H7" s="106"/>
      <c r="I7" s="106"/>
      <c r="J7" s="106"/>
      <c r="K7" s="106"/>
      <c r="L7" s="106"/>
      <c r="M7" s="105" t="str">
        <f>IF('Deploy Parameters'!$J$7="n/a",'Deploy Parameters'!$J$6,'Deploy Parameters'!$J$7)</f>
        <v>lax01.rainpole.local</v>
      </c>
      <c r="N7" s="106"/>
      <c r="O7" s="105" t="str">
        <f t="shared" si="0"/>
        <v/>
      </c>
    </row>
    <row r="8" spans="1:15" ht="16" customHeight="1">
      <c r="A8" s="104" t="s">
        <v>652</v>
      </c>
      <c r="B8" s="105" t="str">
        <f>IF('Hosts and Networks'!N7&lt;&gt;"n/a",MID('Hosts and Networks'!N7,1,(FIND(".",'Hosts and Networks'!N7)-1)),'Hosts and Networks'!N7)</f>
        <v>n/a</v>
      </c>
      <c r="C8" s="106"/>
      <c r="D8" s="106"/>
      <c r="E8" s="106"/>
      <c r="F8" s="106"/>
      <c r="G8" s="106"/>
      <c r="H8" s="106"/>
      <c r="I8" s="106"/>
      <c r="J8" s="106"/>
      <c r="K8" s="106"/>
      <c r="L8" s="106"/>
      <c r="M8" s="105" t="str">
        <f>IF('Deploy Parameters'!$J$7="n/a",'Deploy Parameters'!$J$6,'Deploy Parameters'!$J$7)</f>
        <v>lax01.rainpole.local</v>
      </c>
      <c r="N8" s="106"/>
      <c r="O8" s="105" t="str">
        <f t="shared" si="0"/>
        <v/>
      </c>
    </row>
    <row r="9" spans="1:15" ht="16" customHeight="1">
      <c r="A9" s="104" t="s">
        <v>653</v>
      </c>
      <c r="B9" s="105" t="str">
        <f>IF('Hosts and Networks'!O7&lt;&gt;"n/a",MID('Hosts and Networks'!O7,1,(FIND(".",'Hosts and Networks'!O7)-1)),'Hosts and Networks'!O7)</f>
        <v>n/a</v>
      </c>
      <c r="C9" s="106"/>
      <c r="D9" s="106"/>
      <c r="E9" s="106"/>
      <c r="F9" s="106"/>
      <c r="G9" s="106"/>
      <c r="H9" s="106"/>
      <c r="I9" s="106"/>
      <c r="J9" s="106"/>
      <c r="K9" s="106"/>
      <c r="L9" s="106"/>
      <c r="M9" s="105" t="str">
        <f>IF('Deploy Parameters'!$J$7="n/a",'Deploy Parameters'!$J$6,'Deploy Parameters'!$J$7)</f>
        <v>lax01.rainpole.local</v>
      </c>
      <c r="N9" s="106"/>
      <c r="O9" s="105" t="str">
        <f t="shared" si="0"/>
        <v/>
      </c>
    </row>
    <row r="10" spans="1:15" ht="16" customHeight="1">
      <c r="A10" s="104" t="s">
        <v>654</v>
      </c>
      <c r="B10" s="107" t="str">
        <f>IF('Hosts and Networks'!H18&lt;&gt;"n/a",MID('Hosts and Networks'!H18,1,(FIND(".",'Hosts and Networks'!H18)-1)),'Hosts and Networks'!H18)</f>
        <v>lax01w01esx01</v>
      </c>
      <c r="C10" s="106"/>
      <c r="D10" s="106"/>
      <c r="E10" s="106"/>
      <c r="F10" s="106"/>
      <c r="G10" s="106"/>
      <c r="H10" s="106"/>
      <c r="I10" s="106"/>
      <c r="J10" s="106"/>
      <c r="K10" s="106"/>
      <c r="L10" s="106"/>
      <c r="M10" s="105" t="str">
        <f>IF('Deploy Parameters'!$J$7="n/a",'Deploy Parameters'!$J$6,'Deploy Parameters'!$J$7)</f>
        <v>lax01.rainpole.local</v>
      </c>
      <c r="N10" s="106"/>
      <c r="O10" s="105" t="str">
        <f t="shared" si="0"/>
        <v>lax01w01esx01</v>
      </c>
    </row>
    <row r="11" spans="1:15" ht="16" customHeight="1">
      <c r="A11" s="104" t="s">
        <v>655</v>
      </c>
      <c r="B11" s="107" t="str">
        <f>IF('Hosts and Networks'!I18&lt;&gt;"n/a",MID('Hosts and Networks'!I18,1,(FIND(".",'Hosts and Networks'!I18)-1)),'Hosts and Networks'!I18)</f>
        <v>lax01w01esx02</v>
      </c>
      <c r="C11" s="106"/>
      <c r="D11" s="106"/>
      <c r="E11" s="106"/>
      <c r="F11" s="106"/>
      <c r="G11" s="106"/>
      <c r="H11" s="106"/>
      <c r="I11" s="106"/>
      <c r="J11" s="106"/>
      <c r="K11" s="106"/>
      <c r="L11" s="106"/>
      <c r="M11" s="105" t="str">
        <f>IF('Deploy Parameters'!$J$7="n/a",'Deploy Parameters'!$J$6,'Deploy Parameters'!$J$7)</f>
        <v>lax01.rainpole.local</v>
      </c>
      <c r="N11" s="106"/>
      <c r="O11" s="105" t="str">
        <f t="shared" si="0"/>
        <v>lax01w01esx02</v>
      </c>
    </row>
    <row r="12" spans="1:15" ht="16" customHeight="1">
      <c r="A12" s="104" t="s">
        <v>656</v>
      </c>
      <c r="B12" s="107" t="str">
        <f>IF('Hosts and Networks'!J18&lt;&gt;"n/a",MID('Hosts and Networks'!J18,1,(FIND(".",'Hosts and Networks'!J18)-1)),'Hosts and Networks'!J18)</f>
        <v>lax01w01esx03</v>
      </c>
      <c r="C12" s="106"/>
      <c r="D12" s="106"/>
      <c r="E12" s="106"/>
      <c r="F12" s="106"/>
      <c r="G12" s="106"/>
      <c r="H12" s="106"/>
      <c r="I12" s="106"/>
      <c r="J12" s="106"/>
      <c r="K12" s="106"/>
      <c r="L12" s="106"/>
      <c r="M12" s="105" t="str">
        <f>IF('Deploy Parameters'!$J$7="n/a",'Deploy Parameters'!$J$6,'Deploy Parameters'!$J$7)</f>
        <v>lax01.rainpole.local</v>
      </c>
      <c r="N12" s="106"/>
      <c r="O12" s="105" t="str">
        <f t="shared" si="0"/>
        <v>lax01w01esx03</v>
      </c>
    </row>
    <row r="13" spans="1:15" ht="16" customHeight="1">
      <c r="A13" s="104" t="s">
        <v>657</v>
      </c>
      <c r="B13" s="107" t="str">
        <f>IF('Hosts and Networks'!K18&lt;&gt;"n/a",MID('Hosts and Networks'!K18,1,(FIND(".",'Hosts and Networks'!K18)-1)),'Hosts and Networks'!K18)</f>
        <v>lax01w01esx04</v>
      </c>
      <c r="C13" s="106"/>
      <c r="D13" s="106"/>
      <c r="E13" s="106"/>
      <c r="F13" s="106"/>
      <c r="G13" s="106"/>
      <c r="H13" s="106"/>
      <c r="I13" s="106"/>
      <c r="J13" s="106"/>
      <c r="K13" s="106"/>
      <c r="L13" s="106"/>
      <c r="M13" s="105" t="str">
        <f>IF('Deploy Parameters'!$J$7="n/a",'Deploy Parameters'!$J$6,'Deploy Parameters'!$J$7)</f>
        <v>lax01.rainpole.local</v>
      </c>
      <c r="N13" s="106"/>
      <c r="O13" s="105" t="str">
        <f t="shared" si="0"/>
        <v>lax01w01esx04</v>
      </c>
    </row>
    <row r="14" spans="1:15" ht="16" customHeight="1">
      <c r="A14" s="104" t="s">
        <v>761</v>
      </c>
      <c r="B14" s="107" t="str">
        <f>IF('Hosts and Networks'!L18&lt;&gt;"n/a",MID('Hosts and Networks'!L18,1,(FIND(".",'Hosts and Networks'!L18)-1)),'Hosts and Networks'!L18)</f>
        <v>n/a</v>
      </c>
      <c r="C14" s="106"/>
      <c r="D14" s="106"/>
      <c r="E14" s="106"/>
      <c r="F14" s="106"/>
      <c r="G14" s="106"/>
      <c r="H14" s="106"/>
      <c r="I14" s="106"/>
      <c r="J14" s="106"/>
      <c r="K14" s="106"/>
      <c r="L14" s="106"/>
      <c r="M14" s="105" t="str">
        <f>IF('Deploy Parameters'!$J$7="n/a",'Deploy Parameters'!$J$6,'Deploy Parameters'!$J$7)</f>
        <v>lax01.rainpole.local</v>
      </c>
      <c r="N14" s="106"/>
      <c r="O14" s="105" t="str">
        <f t="shared" si="0"/>
        <v/>
      </c>
    </row>
    <row r="15" spans="1:15" ht="16" customHeight="1">
      <c r="A15" s="104" t="s">
        <v>762</v>
      </c>
      <c r="B15" s="107" t="str">
        <f>IF('Hosts and Networks'!M18&lt;&gt;"n/a",MID('Hosts and Networks'!M18,1,(FIND(".",'Hosts and Networks'!M18)-1)),'Hosts and Networks'!M18)</f>
        <v>n/a</v>
      </c>
      <c r="C15" s="106"/>
      <c r="D15" s="106"/>
      <c r="E15" s="106"/>
      <c r="F15" s="106"/>
      <c r="G15" s="106"/>
      <c r="H15" s="106"/>
      <c r="I15" s="106"/>
      <c r="J15" s="106"/>
      <c r="K15" s="106"/>
      <c r="L15" s="106"/>
      <c r="M15" s="105" t="str">
        <f>IF('Deploy Parameters'!$J$7="n/a",'Deploy Parameters'!$J$6,'Deploy Parameters'!$J$7)</f>
        <v>lax01.rainpole.local</v>
      </c>
      <c r="N15" s="106"/>
      <c r="O15" s="105" t="str">
        <f t="shared" si="0"/>
        <v/>
      </c>
    </row>
    <row r="16" spans="1:15" ht="16" customHeight="1">
      <c r="A16" s="104" t="s">
        <v>763</v>
      </c>
      <c r="B16" s="107" t="str">
        <f>IF('Hosts and Networks'!N18&lt;&gt;"n/a",MID('Hosts and Networks'!N18,1,(FIND(".",'Hosts and Networks'!N18)-1)),'Hosts and Networks'!N18)</f>
        <v>n/a</v>
      </c>
      <c r="C16" s="106"/>
      <c r="D16" s="106"/>
      <c r="E16" s="106"/>
      <c r="F16" s="106"/>
      <c r="G16" s="106"/>
      <c r="H16" s="106"/>
      <c r="I16" s="106"/>
      <c r="J16" s="106"/>
      <c r="K16" s="106"/>
      <c r="L16" s="106"/>
      <c r="M16" s="105" t="str">
        <f>IF('Deploy Parameters'!$J$7="n/a",'Deploy Parameters'!$J$6,'Deploy Parameters'!$J$7)</f>
        <v>lax01.rainpole.local</v>
      </c>
      <c r="N16" s="106"/>
      <c r="O16" s="105" t="str">
        <f t="shared" si="0"/>
        <v/>
      </c>
    </row>
    <row r="17" spans="1:15" ht="16" customHeight="1">
      <c r="A17" s="104" t="s">
        <v>764</v>
      </c>
      <c r="B17" s="107" t="str">
        <f>IF('Hosts and Networks'!O18&lt;&gt;"n/a",MID('Hosts and Networks'!O18,1,(FIND(".",'Hosts and Networks'!O18)-1)),'Hosts and Networks'!O18)</f>
        <v>n/a</v>
      </c>
      <c r="C17" s="106"/>
      <c r="D17" s="106"/>
      <c r="E17" s="106"/>
      <c r="F17" s="106"/>
      <c r="G17" s="106"/>
      <c r="H17" s="106"/>
      <c r="I17" s="106"/>
      <c r="J17" s="106"/>
      <c r="K17" s="106"/>
      <c r="L17" s="106"/>
      <c r="M17" s="105" t="str">
        <f>IF('Deploy Parameters'!$J$7="n/a",'Deploy Parameters'!$J$6,'Deploy Parameters'!$J$7)</f>
        <v>lax01.rainpole.local</v>
      </c>
      <c r="N17" s="106"/>
      <c r="O17" s="105" t="str">
        <f t="shared" si="0"/>
        <v/>
      </c>
    </row>
    <row r="18" spans="1:15" ht="16" customHeight="1">
      <c r="A18" s="104" t="s">
        <v>658</v>
      </c>
      <c r="B18" s="105" t="str">
        <f>'Deploy Parameters'!F26</f>
        <v>lax01m01vc01</v>
      </c>
      <c r="C18" s="106"/>
      <c r="D18" s="106"/>
      <c r="E18" s="106"/>
      <c r="F18" s="106"/>
      <c r="G18" s="106"/>
      <c r="H18" s="106"/>
      <c r="I18" s="106"/>
      <c r="J18" s="106"/>
      <c r="K18" s="106"/>
      <c r="L18" s="106"/>
      <c r="M18" s="105" t="str">
        <f>IF('Deploy Parameters'!$J$7="n/a",'Deploy Parameters'!$J$6,'Deploy Parameters'!$J$7)</f>
        <v>lax01.rainpole.local</v>
      </c>
      <c r="N18" s="106"/>
      <c r="O18" s="105" t="str">
        <f t="shared" si="0"/>
        <v>lax01m01vc01</v>
      </c>
    </row>
    <row r="19" spans="1:15" ht="16" customHeight="1">
      <c r="A19" s="104" t="s">
        <v>659</v>
      </c>
      <c r="B19" s="105" t="str">
        <f>'Deploy Parameters'!F29</f>
        <v>lax01w01vc01</v>
      </c>
      <c r="C19" s="106"/>
      <c r="D19" s="106"/>
      <c r="E19" s="106"/>
      <c r="F19" s="106"/>
      <c r="G19" s="106"/>
      <c r="H19" s="106"/>
      <c r="I19" s="106"/>
      <c r="J19" s="106"/>
      <c r="K19" s="106"/>
      <c r="L19" s="106"/>
      <c r="M19" s="105" t="str">
        <f>IF('Deploy Parameters'!$J$7="n/a",'Deploy Parameters'!$J$6,'Deploy Parameters'!$J$7)</f>
        <v>lax01.rainpole.local</v>
      </c>
      <c r="N19" s="106"/>
      <c r="O19" s="105" t="str">
        <f t="shared" si="0"/>
        <v>lax01w01vc01</v>
      </c>
    </row>
    <row r="20" spans="1:15" ht="16" customHeight="1">
      <c r="A20" s="104" t="s">
        <v>660</v>
      </c>
      <c r="B20" s="105" t="str">
        <f>'Deploy Parameters'!F27</f>
        <v>lax01m01psc01</v>
      </c>
      <c r="C20" s="106"/>
      <c r="D20" s="106"/>
      <c r="E20" s="106"/>
      <c r="F20" s="106"/>
      <c r="G20" s="106"/>
      <c r="H20" s="106"/>
      <c r="I20" s="106"/>
      <c r="J20" s="106"/>
      <c r="K20" s="106"/>
      <c r="L20" s="106"/>
      <c r="M20" s="105" t="str">
        <f>IF('Deploy Parameters'!$J$7="n/a",'Deploy Parameters'!$J$6,'Deploy Parameters'!$J$7)</f>
        <v>lax01.rainpole.local</v>
      </c>
      <c r="N20" s="106"/>
      <c r="O20" s="105" t="str">
        <f t="shared" si="0"/>
        <v>lax01m01psc01</v>
      </c>
    </row>
    <row r="21" spans="1:15" ht="16" customHeight="1">
      <c r="A21" s="104" t="s">
        <v>659</v>
      </c>
      <c r="B21" s="105" t="str">
        <f>'Deploy Parameters'!F30</f>
        <v>lax01w01psc01</v>
      </c>
      <c r="C21" s="106"/>
      <c r="D21" s="106"/>
      <c r="E21" s="106"/>
      <c r="F21" s="106"/>
      <c r="G21" s="106"/>
      <c r="H21" s="106"/>
      <c r="I21" s="106"/>
      <c r="J21" s="106"/>
      <c r="K21" s="106"/>
      <c r="L21" s="106"/>
      <c r="M21" s="105" t="str">
        <f>IF('Deploy Parameters'!$J$7="n/a",'Deploy Parameters'!$J$6,'Deploy Parameters'!$J$7)</f>
        <v>lax01.rainpole.local</v>
      </c>
      <c r="N21" s="106"/>
      <c r="O21" s="105" t="str">
        <f t="shared" si="0"/>
        <v>lax01w01psc01</v>
      </c>
    </row>
    <row r="22" spans="1:15" ht="16" customHeight="1">
      <c r="A22" s="104" t="s">
        <v>661</v>
      </c>
      <c r="B22" s="105" t="str">
        <f>'Deploy Parameters'!F31</f>
        <v>lax01psc01</v>
      </c>
      <c r="C22" s="105" t="str">
        <f>'Deploy Parameters'!F27</f>
        <v>lax01m01psc01</v>
      </c>
      <c r="D22" s="105" t="str">
        <f>'Deploy Parameters'!F30</f>
        <v>lax01w01psc01</v>
      </c>
      <c r="E22" s="106"/>
      <c r="F22" s="106"/>
      <c r="G22" s="106"/>
      <c r="H22" s="106"/>
      <c r="I22" s="106"/>
      <c r="J22" s="106"/>
      <c r="K22" s="106"/>
      <c r="L22" s="106"/>
      <c r="M22" s="105" t="str">
        <f>IF('Deploy Parameters'!$J$7="n/a",'Deploy Parameters'!$J$6,'Deploy Parameters'!$J$7)</f>
        <v>lax01.rainpole.local</v>
      </c>
      <c r="N22" s="106"/>
      <c r="O22" s="105" t="str">
        <f t="shared" si="0"/>
        <v>lax01psc01</v>
      </c>
    </row>
    <row r="23" spans="1:15" ht="16" customHeight="1">
      <c r="A23" s="104" t="s">
        <v>662</v>
      </c>
      <c r="B23" s="108" t="str">
        <f>'Deploy Parameters'!F58</f>
        <v>lax01m01nsx01</v>
      </c>
      <c r="C23" s="106"/>
      <c r="D23" s="106"/>
      <c r="E23" s="106"/>
      <c r="F23" s="106"/>
      <c r="G23" s="106"/>
      <c r="H23" s="106"/>
      <c r="I23" s="106"/>
      <c r="J23" s="106"/>
      <c r="K23" s="106"/>
      <c r="L23" s="106"/>
      <c r="M23" s="105" t="str">
        <f>IF('Deploy Parameters'!$J$7="n/a",'Deploy Parameters'!$J$6,'Deploy Parameters'!$J$7)</f>
        <v>lax01.rainpole.local</v>
      </c>
      <c r="N23" s="106"/>
      <c r="O23" s="105" t="str">
        <f t="shared" si="0"/>
        <v>lax01m01nsx01</v>
      </c>
    </row>
    <row r="24" spans="1:15" ht="16" customHeight="1">
      <c r="A24" s="104" t="s">
        <v>663</v>
      </c>
      <c r="B24" s="108" t="str">
        <f>'Deploy Parameters'!J58</f>
        <v>lax01w01nsx01</v>
      </c>
      <c r="C24" s="106"/>
      <c r="D24" s="106"/>
      <c r="E24" s="106"/>
      <c r="F24" s="106"/>
      <c r="G24" s="106"/>
      <c r="H24" s="106"/>
      <c r="I24" s="106"/>
      <c r="J24" s="106"/>
      <c r="K24" s="106"/>
      <c r="L24" s="106"/>
      <c r="M24" s="105" t="str">
        <f>IF('Deploy Parameters'!$J$7="n/a",'Deploy Parameters'!$J$6,'Deploy Parameters'!$J$7)</f>
        <v>lax01.rainpole.local</v>
      </c>
      <c r="N24" s="106"/>
      <c r="O24" s="105" t="str">
        <f t="shared" si="0"/>
        <v>lax01w01nsx01</v>
      </c>
    </row>
    <row r="25" spans="1:15" ht="16" customHeight="1">
      <c r="A25" s="104" t="s">
        <v>375</v>
      </c>
      <c r="B25" s="108" t="str">
        <f>'Deploy Parameters'!F175</f>
        <v>lax01m01srm01</v>
      </c>
      <c r="C25" s="106"/>
      <c r="D25" s="106"/>
      <c r="E25" s="106"/>
      <c r="F25" s="106"/>
      <c r="G25" s="106"/>
      <c r="H25" s="106"/>
      <c r="I25" s="106"/>
      <c r="J25" s="106"/>
      <c r="K25" s="106"/>
      <c r="L25" s="106"/>
      <c r="M25" s="105" t="str">
        <f>IF('Deploy Parameters'!$J$7="n/a",'Deploy Parameters'!$J$6,'Deploy Parameters'!$J$7)</f>
        <v>lax01.rainpole.local</v>
      </c>
      <c r="N25" s="108" t="str">
        <f>'Deploy Parameters'!G175</f>
        <v>172.17.11.124</v>
      </c>
      <c r="O25" s="105" t="str">
        <f t="shared" si="0"/>
        <v>lax01m01srm01</v>
      </c>
    </row>
    <row r="26" spans="1:15" ht="16" customHeight="1">
      <c r="A26" s="104" t="s">
        <v>376</v>
      </c>
      <c r="B26" s="108" t="str">
        <f>'Deploy Parameters'!F182</f>
        <v>lax01m01vrms01</v>
      </c>
      <c r="C26" s="106"/>
      <c r="D26" s="106"/>
      <c r="E26" s="106"/>
      <c r="F26" s="106"/>
      <c r="G26" s="106"/>
      <c r="H26" s="106"/>
      <c r="I26" s="106"/>
      <c r="J26" s="106"/>
      <c r="K26" s="106"/>
      <c r="L26" s="106"/>
      <c r="M26" s="105" t="str">
        <f>IF('Deploy Parameters'!$J$7="n/a",'Deploy Parameters'!$J$6,'Deploy Parameters'!$J$7)</f>
        <v>lax01.rainpole.local</v>
      </c>
      <c r="N26" s="108" t="str">
        <f>'Deploy Parameters'!G182</f>
        <v>172.17.11.123</v>
      </c>
      <c r="O26" s="105" t="str">
        <f t="shared" si="0"/>
        <v>lax01m01vrms01</v>
      </c>
    </row>
    <row r="27" spans="1:15" ht="16" customHeight="1">
      <c r="A27" s="104" t="s">
        <v>31</v>
      </c>
      <c r="B27" s="108" t="str">
        <f>'Deploy Parameters'!F152</f>
        <v>lax01vrli01</v>
      </c>
      <c r="C27" s="105" t="str">
        <f>'Deploy Parameters'!F153</f>
        <v>lax01vrli01a</v>
      </c>
      <c r="D27" s="105" t="str">
        <f>'Deploy Parameters'!F154</f>
        <v>lax01vrli01b</v>
      </c>
      <c r="E27" s="105" t="str">
        <f>'Deploy Parameters'!F155</f>
        <v>lax01vrli01c</v>
      </c>
      <c r="F27" s="106"/>
      <c r="G27" s="106"/>
      <c r="H27" s="106"/>
      <c r="I27" s="106"/>
      <c r="J27" s="106"/>
      <c r="K27" s="106"/>
      <c r="L27" s="106"/>
      <c r="M27" s="105" t="str">
        <f>IF('Deploy Parameters'!$J$7="n/a",'Deploy Parameters'!$J$6,'Deploy Parameters'!$J$7)</f>
        <v>lax01.rainpole.local</v>
      </c>
      <c r="N27" s="108" t="str">
        <f>'Deploy Parameters'!G152</f>
        <v>192.168.32.10</v>
      </c>
      <c r="O27" s="105" t="str">
        <f t="shared" si="0"/>
        <v>lax01vrli01</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6A5674E7364043BDA7AE8054A18BFA" ma:contentTypeVersion="6" ma:contentTypeDescription="Create a new document." ma:contentTypeScope="" ma:versionID="f3bf2c5d283e4895e01c70277a1dfa67">
  <xsd:schema xmlns:xsd="http://www.w3.org/2001/XMLSchema" xmlns:xs="http://www.w3.org/2001/XMLSchema" xmlns:p="http://schemas.microsoft.com/office/2006/metadata/properties" xmlns:ns2="027d102c-2a58-4335-9ac9-f4263fb4140c" xmlns:ns3="e9c4760e-fc5f-453e-9cb9-322215ce473c" targetNamespace="http://schemas.microsoft.com/office/2006/metadata/properties" ma:root="true" ma:fieldsID="730c3ad038dd646d5dd2566a9876ea6c" ns2:_="" ns3:_="">
    <xsd:import namespace="027d102c-2a58-4335-9ac9-f4263fb4140c"/>
    <xsd:import namespace="e9c4760e-fc5f-453e-9cb9-322215ce47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d102c-2a58-4335-9ac9-f4263fb4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c4760e-fc5f-453e-9cb9-322215ce47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2.xml><?xml version="1.0" encoding="utf-8"?>
<ds:datastoreItem xmlns:ds="http://schemas.openxmlformats.org/officeDocument/2006/customXml" ds:itemID="{8C764FA8-E187-4ABA-86B6-51F1D87DE4F4}">
  <ds:schemaRefs>
    <ds:schemaRef ds:uri="http://schemas.microsoft.com/office/infopath/2007/PartnerControls"/>
    <ds:schemaRef ds:uri="027d102c-2a58-4335-9ac9-f4263fb4140c"/>
    <ds:schemaRef ds:uri="http://purl.org/dc/dcmityp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e9c4760e-fc5f-453e-9cb9-322215ce473c"/>
    <ds:schemaRef ds:uri="http://www.w3.org/XML/1998/namespace"/>
    <ds:schemaRef ds:uri="http://purl.org/dc/terms/"/>
  </ds:schemaRefs>
</ds:datastoreItem>
</file>

<file path=customXml/itemProps3.xml><?xml version="1.0" encoding="utf-8"?>
<ds:datastoreItem xmlns:ds="http://schemas.openxmlformats.org/officeDocument/2006/customXml" ds:itemID="{2435ED0C-5CD4-4857-B1E1-16790451F5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d102c-2a58-4335-9ac9-f4263fb4140c"/>
    <ds:schemaRef ds:uri="e9c4760e-fc5f-453e-9cb9-322215ce47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Prerequisite Checklist</vt:lpstr>
      <vt:lpstr>Management Workloads</vt:lpstr>
      <vt:lpstr>Users and Groups</vt:lpstr>
      <vt:lpstr>Hosts and Networks</vt:lpstr>
      <vt:lpstr>Deploy Parameters</vt:lpstr>
      <vt:lpstr>vRA Configuration</vt:lpstr>
      <vt:lpstr>Run Parameters</vt:lpstr>
      <vt:lpstr>Lookup_Lists</vt:lpstr>
      <vt:lpstr>CertConfig</vt:lpstr>
      <vt:lpstr>Config_File_Build</vt:lpstr>
      <vt:lpstr>Change Log</vt:lpstr>
      <vt:lpstr>EVC_Settings</vt:lpstr>
      <vt:lpstr>'Deploy Parameters'!Print_Area</vt:lpstr>
      <vt:lpstr>'Users and Groups'!Print_Area</vt:lpstr>
      <vt:lpstr>'vRA Configuration'!Print_Area</vt:lpstr>
      <vt:lpstr>Lookup_Lists!Timezone_Index</vt:lpstr>
      <vt:lpstr>Timezone_Index</vt:lpstr>
      <vt:lpstr>Lookup_Lists!vRB_Currencies</vt:lpstr>
      <vt:lpstr>vRB_Currencies</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Validated Design for IT Automation Deploy Service Checklist</dc:title>
  <dc:subject>VMware Validated Design for IT Automation Deploy Service Kit</dc:subject>
  <dc:creator>VMware Global Technical and Professional Services</dc:creator>
  <cp:lastModifiedBy>Ramya Patil</cp:lastModifiedBy>
  <dcterms:created xsi:type="dcterms:W3CDTF">2015-04-26T05:38:09Z</dcterms:created>
  <dcterms:modified xsi:type="dcterms:W3CDTF">2019-01-15T21:08:18Z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0x010100E56A5674E7364043BDA7AE8054A18BFA</vt:lpwstr>
  </property>
  <property fmtid="{D5CDD505-2E9C-101B-9397-08002B2CF9AE}" pid="3" name="Order">
    <vt:r8>1823000</vt:r8>
  </property>
  <property fmtid="{D5CDD505-2E9C-101B-9397-08002B2CF9AE}" pid="4" name="URL">
    <vt:lpwstr/>
  </property>
  <property fmtid="{D5CDD505-2E9C-101B-9397-08002B2CF9AE}" pid="5" name="xd_ProgID">
    <vt:lpwstr/>
  </property>
  <property fmtid="{D5CDD505-2E9C-101B-9397-08002B2CF9AE}" pid="6" name="Gap Analysis Complete">
    <vt:bool>true</vt:bool>
  </property>
  <property fmtid="{D5CDD505-2E9C-101B-9397-08002B2CF9AE}" pid="7" name="TemplateUrl">
    <vt:lpwstr/>
  </property>
  <property fmtid="{D5CDD505-2E9C-101B-9397-08002B2CF9AE}" pid="8" name="Latest Kit Archived on Perforce">
    <vt:bool>true</vt:bool>
  </property>
  <property fmtid="{D5CDD505-2E9C-101B-9397-08002B2CF9AE}" pid="9" name="Team Developing">
    <vt:lpwstr/>
  </property>
  <property fmtid="{D5CDD505-2E9C-101B-9397-08002B2CF9AE}" pid="10" name="Organization">
    <vt:lpwstr/>
  </property>
  <property fmtid="{D5CDD505-2E9C-101B-9397-08002B2CF9AE}" pid="11" name="Layer">
    <vt:lpwstr/>
  </property>
</Properties>
</file>