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Life OS\Personal Brand\Portfolio Projects\Financial Statement Analysis &amp; Reporting\"/>
    </mc:Choice>
  </mc:AlternateContent>
  <xr:revisionPtr revIDLastSave="0" documentId="13_ncr:1_{F48E9A3F-419A-46E6-8164-4066B5E8D69C}" xr6:coauthVersionLast="47" xr6:coauthVersionMax="47" xr10:uidLastSave="{00000000-0000-0000-0000-000000000000}"/>
  <bookViews>
    <workbookView xWindow="38280" yWindow="-120" windowWidth="29040" windowHeight="15720" tabRatio="893" xr2:uid="{171DF236-6823-4522-83C7-05D50B5CF2E6}"/>
  </bookViews>
  <sheets>
    <sheet name="Read Me" sheetId="5" r:id="rId1"/>
    <sheet name="Analysis &gt;&gt;" sheetId="6" r:id="rId2"/>
    <sheet name="Balance Sheet Analysis" sheetId="7" r:id="rId3"/>
    <sheet name="Income Statement Analysis" sheetId="8" r:id="rId4"/>
    <sheet name="Cash Flow St Analysis" sheetId="9" r:id="rId5"/>
    <sheet name="Ratio Analysis" sheetId="12" r:id="rId6"/>
    <sheet name="Engine &gt;&gt;" sheetId="13" r:id="rId7"/>
    <sheet name="Dashboards Engine" sheetId="11" r:id="rId8"/>
  </sheets>
  <definedNames>
    <definedName name="_xlchart.v1.0" hidden="1">'Dashboards Engine'!$B$46:$B$58</definedName>
    <definedName name="_xlchart.v1.1" hidden="1">'Dashboards Engine'!$C$46:$C$58</definedName>
    <definedName name="_xlchart.v1.2" hidden="1">'Dashboards Engine'!$B$74:$B$78</definedName>
    <definedName name="_xlchart.v1.3" hidden="1">'Dashboards Engine'!$C$74:$C$78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8" l="1"/>
  <c r="T14" i="8"/>
  <c r="S14" i="8"/>
  <c r="R14" i="8"/>
  <c r="Q14" i="8"/>
  <c r="U11" i="8"/>
  <c r="T11" i="8"/>
  <c r="S11" i="8"/>
  <c r="R11" i="8"/>
  <c r="Q11" i="8"/>
  <c r="O14" i="8"/>
  <c r="N14" i="8"/>
  <c r="M14" i="8"/>
  <c r="L14" i="8"/>
  <c r="L11" i="8"/>
  <c r="M11" i="8"/>
  <c r="N11" i="8"/>
  <c r="O11" i="8"/>
  <c r="C47" i="9"/>
  <c r="C104" i="11"/>
  <c r="C103" i="11"/>
  <c r="D13" i="12"/>
  <c r="E13" i="12"/>
  <c r="F13" i="12"/>
  <c r="G13" i="12"/>
  <c r="C13" i="12"/>
  <c r="D32" i="12"/>
  <c r="E32" i="12"/>
  <c r="F32" i="12"/>
  <c r="G32" i="12"/>
  <c r="C32" i="12"/>
  <c r="D12" i="12"/>
  <c r="E12" i="12"/>
  <c r="F12" i="12"/>
  <c r="G12" i="12"/>
  <c r="C12" i="12"/>
  <c r="D47" i="9"/>
  <c r="E47" i="9"/>
  <c r="F47" i="9"/>
  <c r="G47" i="9"/>
  <c r="C45" i="9"/>
  <c r="C40" i="9"/>
  <c r="C28" i="9"/>
  <c r="C21" i="9"/>
  <c r="C86" i="11" s="1"/>
  <c r="M31" i="9"/>
  <c r="L12" i="9"/>
  <c r="L10" i="9"/>
  <c r="L6" i="9"/>
  <c r="C78" i="11"/>
  <c r="C77" i="11"/>
  <c r="C76" i="11"/>
  <c r="C75" i="11"/>
  <c r="C74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D66" i="11"/>
  <c r="D94" i="11"/>
  <c r="E94" i="11"/>
  <c r="F94" i="11"/>
  <c r="G94" i="11"/>
  <c r="D95" i="11"/>
  <c r="E95" i="11"/>
  <c r="F95" i="11"/>
  <c r="G95" i="11"/>
  <c r="D96" i="11"/>
  <c r="E96" i="11"/>
  <c r="F96" i="11"/>
  <c r="G96" i="11"/>
  <c r="D97" i="11"/>
  <c r="E97" i="11"/>
  <c r="F97" i="11"/>
  <c r="G97" i="11"/>
  <c r="D98" i="11"/>
  <c r="E98" i="11"/>
  <c r="F98" i="11"/>
  <c r="G98" i="11"/>
  <c r="C95" i="11"/>
  <c r="C96" i="11"/>
  <c r="C97" i="11"/>
  <c r="C98" i="11"/>
  <c r="C94" i="11"/>
  <c r="D86" i="11"/>
  <c r="E86" i="11"/>
  <c r="F86" i="11"/>
  <c r="G86" i="11"/>
  <c r="D87" i="11"/>
  <c r="E87" i="11"/>
  <c r="F87" i="11"/>
  <c r="G87" i="11"/>
  <c r="D88" i="11"/>
  <c r="E88" i="11"/>
  <c r="F88" i="11"/>
  <c r="G88" i="11"/>
  <c r="C87" i="11"/>
  <c r="C88" i="11"/>
  <c r="D8" i="9"/>
  <c r="E8" i="9"/>
  <c r="F8" i="9"/>
  <c r="G8" i="9"/>
  <c r="C8" i="9"/>
  <c r="E27" i="8"/>
  <c r="C27" i="8"/>
  <c r="C17" i="8"/>
  <c r="C26" i="8"/>
  <c r="C18" i="8"/>
  <c r="D14" i="8"/>
  <c r="E14" i="8"/>
  <c r="F14" i="8"/>
  <c r="G14" i="8"/>
  <c r="C14" i="8"/>
  <c r="D11" i="8"/>
  <c r="E11" i="8"/>
  <c r="F11" i="8"/>
  <c r="G11" i="8"/>
  <c r="C11" i="8"/>
  <c r="G27" i="8"/>
  <c r="G29" i="8"/>
  <c r="G31" i="8"/>
  <c r="G17" i="8"/>
  <c r="F17" i="8"/>
  <c r="E17" i="8"/>
  <c r="D17" i="8"/>
  <c r="C108" i="11" l="1"/>
  <c r="Q9" i="7"/>
  <c r="C7" i="12"/>
  <c r="D29" i="12"/>
  <c r="E29" i="12"/>
  <c r="F29" i="12"/>
  <c r="G29" i="12"/>
  <c r="C105" i="11" s="1"/>
  <c r="C29" i="12"/>
  <c r="D28" i="12"/>
  <c r="C35" i="11" s="1"/>
  <c r="E28" i="12"/>
  <c r="F28" i="12"/>
  <c r="G28" i="12"/>
  <c r="C28" i="12"/>
  <c r="D27" i="12"/>
  <c r="E27" i="12"/>
  <c r="F27" i="12"/>
  <c r="G27" i="12"/>
  <c r="C27" i="12"/>
  <c r="E23" i="12"/>
  <c r="E24" i="12" s="1"/>
  <c r="F23" i="12"/>
  <c r="F24" i="12" s="1"/>
  <c r="G23" i="12"/>
  <c r="G24" i="12" s="1"/>
  <c r="D23" i="12"/>
  <c r="D24" i="12" s="1"/>
  <c r="D22" i="12"/>
  <c r="G22" i="12"/>
  <c r="E22" i="12"/>
  <c r="F22" i="12"/>
  <c r="D19" i="12"/>
  <c r="E19" i="12"/>
  <c r="F19" i="12"/>
  <c r="G19" i="12"/>
  <c r="C19" i="12"/>
  <c r="D18" i="12"/>
  <c r="E18" i="12"/>
  <c r="F18" i="12"/>
  <c r="G18" i="12"/>
  <c r="C18" i="12"/>
  <c r="D17" i="12"/>
  <c r="E17" i="12"/>
  <c r="F17" i="12"/>
  <c r="G17" i="12"/>
  <c r="C17" i="12"/>
  <c r="C10" i="12"/>
  <c r="C28" i="11"/>
  <c r="C27" i="11"/>
  <c r="C29" i="11"/>
  <c r="Q29" i="7"/>
  <c r="C26" i="11"/>
  <c r="U29" i="7"/>
  <c r="C10" i="11"/>
  <c r="C11" i="11"/>
  <c r="C12" i="11"/>
  <c r="C13" i="11"/>
  <c r="C9" i="11"/>
  <c r="C6" i="11"/>
  <c r="C7" i="11"/>
  <c r="C8" i="11"/>
  <c r="C5" i="11"/>
  <c r="C34" i="11" l="1"/>
  <c r="C36" i="11"/>
  <c r="C37" i="11"/>
  <c r="C14" i="11"/>
  <c r="C30" i="11"/>
  <c r="C18" i="11"/>
  <c r="C19" i="11"/>
  <c r="R31" i="9"/>
  <c r="S31" i="9"/>
  <c r="T31" i="9"/>
  <c r="U31" i="9"/>
  <c r="R32" i="9"/>
  <c r="S32" i="9"/>
  <c r="T32" i="9"/>
  <c r="U32" i="9"/>
  <c r="R33" i="9"/>
  <c r="S33" i="9"/>
  <c r="T33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9" i="9"/>
  <c r="U30" i="9"/>
  <c r="T30" i="9"/>
  <c r="S30" i="9"/>
  <c r="R30" i="9"/>
  <c r="Q31" i="9"/>
  <c r="Q32" i="9"/>
  <c r="Q33" i="9"/>
  <c r="Q34" i="9"/>
  <c r="Q35" i="9"/>
  <c r="Q36" i="9"/>
  <c r="Q37" i="9"/>
  <c r="Q38" i="9"/>
  <c r="Q39" i="9"/>
  <c r="Q30" i="9"/>
  <c r="Q41" i="9" s="1"/>
  <c r="S24" i="9"/>
  <c r="S27" i="9"/>
  <c r="T27" i="9"/>
  <c r="U27" i="9"/>
  <c r="U23" i="9"/>
  <c r="S23" i="9"/>
  <c r="T23" i="9"/>
  <c r="R27" i="9"/>
  <c r="C23" i="8"/>
  <c r="Q22" i="7"/>
  <c r="D23" i="8"/>
  <c r="E23" i="8"/>
  <c r="F23" i="8"/>
  <c r="G23" i="8"/>
  <c r="Q7" i="8"/>
  <c r="Q8" i="8"/>
  <c r="Q10" i="8"/>
  <c r="Q13" i="8"/>
  <c r="Q16" i="8"/>
  <c r="Q17" i="8"/>
  <c r="Q20" i="8"/>
  <c r="Q21" i="8"/>
  <c r="Q22" i="8"/>
  <c r="Q23" i="8"/>
  <c r="Q24" i="8"/>
  <c r="Q25" i="8"/>
  <c r="Q28" i="8"/>
  <c r="Q30" i="8"/>
  <c r="L25" i="8"/>
  <c r="M25" i="8"/>
  <c r="N25" i="8"/>
  <c r="O25" i="8"/>
  <c r="R25" i="8"/>
  <c r="S25" i="8"/>
  <c r="T25" i="8"/>
  <c r="U25" i="8"/>
  <c r="F27" i="8"/>
  <c r="O6" i="8"/>
  <c r="R7" i="8"/>
  <c r="S7" i="8"/>
  <c r="T7" i="8"/>
  <c r="U7" i="8"/>
  <c r="R8" i="8"/>
  <c r="S8" i="8"/>
  <c r="T8" i="8"/>
  <c r="U8" i="8"/>
  <c r="R10" i="8"/>
  <c r="S10" i="8"/>
  <c r="T10" i="8"/>
  <c r="U10" i="8"/>
  <c r="R13" i="8"/>
  <c r="S13" i="8"/>
  <c r="T13" i="8"/>
  <c r="U13" i="8"/>
  <c r="R16" i="8"/>
  <c r="S16" i="8"/>
  <c r="T16" i="8"/>
  <c r="U16" i="8"/>
  <c r="R20" i="8"/>
  <c r="S20" i="8"/>
  <c r="T20" i="8"/>
  <c r="U20" i="8"/>
  <c r="R21" i="8"/>
  <c r="S21" i="8"/>
  <c r="T21" i="8"/>
  <c r="U21" i="8"/>
  <c r="R22" i="8"/>
  <c r="S22" i="8"/>
  <c r="T22" i="8"/>
  <c r="U22" i="8"/>
  <c r="R23" i="8"/>
  <c r="S23" i="8"/>
  <c r="T23" i="8"/>
  <c r="U23" i="8"/>
  <c r="R24" i="8"/>
  <c r="S24" i="8"/>
  <c r="T24" i="8"/>
  <c r="U24" i="8"/>
  <c r="R28" i="8"/>
  <c r="S28" i="8"/>
  <c r="T28" i="8"/>
  <c r="U28" i="8"/>
  <c r="R30" i="8"/>
  <c r="S30" i="8"/>
  <c r="T30" i="8"/>
  <c r="U30" i="8"/>
  <c r="E40" i="9"/>
  <c r="S34" i="9" s="1"/>
  <c r="F40" i="9"/>
  <c r="T34" i="9" s="1"/>
  <c r="G40" i="9"/>
  <c r="U33" i="9" s="1"/>
  <c r="D40" i="9"/>
  <c r="R34" i="9" s="1"/>
  <c r="L40" i="9"/>
  <c r="D28" i="9"/>
  <c r="R26" i="9" s="1"/>
  <c r="E28" i="9"/>
  <c r="S25" i="9" s="1"/>
  <c r="F28" i="9"/>
  <c r="T24" i="9" s="1"/>
  <c r="G28" i="9"/>
  <c r="O28" i="9" s="1"/>
  <c r="L28" i="9"/>
  <c r="L18" i="9"/>
  <c r="N31" i="9"/>
  <c r="O31" i="9"/>
  <c r="L32" i="9"/>
  <c r="M32" i="9"/>
  <c r="N32" i="9"/>
  <c r="O32" i="9"/>
  <c r="L34" i="9"/>
  <c r="M34" i="9"/>
  <c r="N34" i="9"/>
  <c r="O34" i="9"/>
  <c r="L35" i="9"/>
  <c r="M35" i="9"/>
  <c r="N35" i="9"/>
  <c r="O35" i="9"/>
  <c r="L36" i="9"/>
  <c r="M36" i="9"/>
  <c r="N36" i="9"/>
  <c r="O36" i="9"/>
  <c r="L38" i="9"/>
  <c r="M38" i="9"/>
  <c r="N38" i="9"/>
  <c r="O38" i="9"/>
  <c r="L39" i="9"/>
  <c r="M39" i="9"/>
  <c r="N39" i="9"/>
  <c r="O39" i="9"/>
  <c r="M40" i="9"/>
  <c r="N40" i="9"/>
  <c r="O40" i="9"/>
  <c r="L41" i="9"/>
  <c r="M41" i="9"/>
  <c r="N41" i="9"/>
  <c r="O41" i="9"/>
  <c r="L42" i="9"/>
  <c r="M42" i="9"/>
  <c r="N42" i="9"/>
  <c r="O42" i="9"/>
  <c r="L44" i="9"/>
  <c r="M44" i="9"/>
  <c r="N44" i="9"/>
  <c r="O44" i="9"/>
  <c r="O30" i="9"/>
  <c r="N30" i="9"/>
  <c r="M30" i="9"/>
  <c r="L30" i="9"/>
  <c r="M28" i="9"/>
  <c r="N28" i="9"/>
  <c r="O27" i="9"/>
  <c r="N27" i="9"/>
  <c r="M27" i="9"/>
  <c r="L27" i="9"/>
  <c r="O26" i="9"/>
  <c r="N26" i="9"/>
  <c r="M26" i="9"/>
  <c r="L26" i="9"/>
  <c r="M25" i="9"/>
  <c r="L25" i="9"/>
  <c r="O24" i="9"/>
  <c r="N24" i="9"/>
  <c r="M24" i="9"/>
  <c r="L24" i="9"/>
  <c r="O23" i="9"/>
  <c r="N23" i="9"/>
  <c r="M23" i="9"/>
  <c r="L23" i="9"/>
  <c r="L17" i="9"/>
  <c r="M17" i="9"/>
  <c r="N17" i="9"/>
  <c r="O17" i="9"/>
  <c r="M18" i="9"/>
  <c r="N18" i="9"/>
  <c r="O18" i="9"/>
  <c r="L19" i="9"/>
  <c r="M19" i="9"/>
  <c r="N19" i="9"/>
  <c r="O19" i="9"/>
  <c r="L20" i="9"/>
  <c r="M20" i="9"/>
  <c r="N20" i="9"/>
  <c r="O20" i="9"/>
  <c r="L16" i="9"/>
  <c r="O16" i="9"/>
  <c r="N16" i="9"/>
  <c r="M16" i="9"/>
  <c r="O14" i="9"/>
  <c r="N14" i="9"/>
  <c r="M14" i="9"/>
  <c r="L14" i="9"/>
  <c r="O12" i="9"/>
  <c r="N12" i="9"/>
  <c r="M12" i="9"/>
  <c r="M10" i="9"/>
  <c r="O9" i="9"/>
  <c r="N9" i="9"/>
  <c r="M9" i="9"/>
  <c r="L9" i="9"/>
  <c r="O6" i="9"/>
  <c r="N6" i="9"/>
  <c r="M6" i="9"/>
  <c r="D18" i="8"/>
  <c r="E21" i="9"/>
  <c r="L16" i="8"/>
  <c r="M16" i="8"/>
  <c r="N16" i="8"/>
  <c r="O16" i="8"/>
  <c r="M10" i="8"/>
  <c r="N10" i="8"/>
  <c r="O10" i="8"/>
  <c r="L10" i="8"/>
  <c r="D26" i="8"/>
  <c r="E26" i="8"/>
  <c r="F26" i="8"/>
  <c r="G26" i="8"/>
  <c r="G18" i="8"/>
  <c r="S11" i="9" l="1"/>
  <c r="E31" i="12"/>
  <c r="E30" i="12"/>
  <c r="C46" i="9"/>
  <c r="C31" i="12"/>
  <c r="C30" i="12"/>
  <c r="U17" i="8"/>
  <c r="G7" i="12"/>
  <c r="G10" i="12"/>
  <c r="C64" i="11" s="1"/>
  <c r="G12" i="8"/>
  <c r="G8" i="12"/>
  <c r="C62" i="11" s="1"/>
  <c r="T17" i="8"/>
  <c r="F7" i="12"/>
  <c r="F10" i="12"/>
  <c r="F12" i="8"/>
  <c r="F8" i="12"/>
  <c r="E7" i="12"/>
  <c r="E10" i="12"/>
  <c r="E12" i="8"/>
  <c r="E8" i="12"/>
  <c r="D10" i="12"/>
  <c r="D7" i="12"/>
  <c r="D12" i="8"/>
  <c r="D8" i="12"/>
  <c r="D27" i="8"/>
  <c r="M27" i="8" s="1"/>
  <c r="C12" i="8"/>
  <c r="C8" i="12"/>
  <c r="C29" i="8"/>
  <c r="R41" i="9"/>
  <c r="U41" i="9"/>
  <c r="Q27" i="9"/>
  <c r="T26" i="9"/>
  <c r="R23" i="9"/>
  <c r="T25" i="9"/>
  <c r="T29" i="9" s="1"/>
  <c r="T39" i="9"/>
  <c r="T41" i="9" s="1"/>
  <c r="U26" i="9"/>
  <c r="S26" i="9"/>
  <c r="S29" i="9" s="1"/>
  <c r="R24" i="9"/>
  <c r="S39" i="9"/>
  <c r="S41" i="9" s="1"/>
  <c r="Q16" i="9"/>
  <c r="Q23" i="9"/>
  <c r="Q26" i="9"/>
  <c r="U25" i="9"/>
  <c r="R25" i="9"/>
  <c r="U24" i="9"/>
  <c r="R39" i="9"/>
  <c r="Q25" i="9"/>
  <c r="Q24" i="9"/>
  <c r="U38" i="9"/>
  <c r="C20" i="11"/>
  <c r="F29" i="8"/>
  <c r="E29" i="8"/>
  <c r="Q27" i="8"/>
  <c r="S8" i="9"/>
  <c r="S27" i="8"/>
  <c r="R27" i="8"/>
  <c r="L8" i="9"/>
  <c r="E18" i="8"/>
  <c r="S19" i="9"/>
  <c r="M8" i="9"/>
  <c r="N8" i="9"/>
  <c r="S9" i="9"/>
  <c r="O8" i="9"/>
  <c r="G21" i="9"/>
  <c r="S6" i="9"/>
  <c r="S20" i="9"/>
  <c r="S10" i="9"/>
  <c r="F21" i="9"/>
  <c r="T17" i="9" s="1"/>
  <c r="S18" i="9"/>
  <c r="D21" i="9"/>
  <c r="S17" i="9"/>
  <c r="S16" i="9"/>
  <c r="E45" i="9"/>
  <c r="S14" i="9"/>
  <c r="F18" i="8"/>
  <c r="S13" i="9"/>
  <c r="S17" i="8"/>
  <c r="R17" i="8"/>
  <c r="S12" i="9"/>
  <c r="Q19" i="9"/>
  <c r="Q13" i="9"/>
  <c r="Q9" i="9"/>
  <c r="Q6" i="9"/>
  <c r="Q17" i="9"/>
  <c r="Q11" i="9"/>
  <c r="Q8" i="9"/>
  <c r="Q20" i="9"/>
  <c r="Q18" i="9"/>
  <c r="Q14" i="9"/>
  <c r="Q12" i="9"/>
  <c r="Q10" i="9"/>
  <c r="C15" i="8"/>
  <c r="U6" i="8"/>
  <c r="T6" i="8"/>
  <c r="S6" i="8"/>
  <c r="R6" i="8"/>
  <c r="Q6" i="8"/>
  <c r="L7" i="8"/>
  <c r="M7" i="8"/>
  <c r="N7" i="8"/>
  <c r="O7" i="8"/>
  <c r="L8" i="8"/>
  <c r="M8" i="8"/>
  <c r="N8" i="8"/>
  <c r="O8" i="8"/>
  <c r="L13" i="8"/>
  <c r="M13" i="8"/>
  <c r="N13" i="8"/>
  <c r="O13" i="8"/>
  <c r="L17" i="8"/>
  <c r="M17" i="8"/>
  <c r="N17" i="8"/>
  <c r="O17" i="8"/>
  <c r="L20" i="8"/>
  <c r="M20" i="8"/>
  <c r="N20" i="8"/>
  <c r="O20" i="8"/>
  <c r="L21" i="8"/>
  <c r="M21" i="8"/>
  <c r="N21" i="8"/>
  <c r="O21" i="8"/>
  <c r="L22" i="8"/>
  <c r="M22" i="8"/>
  <c r="N22" i="8"/>
  <c r="O22" i="8"/>
  <c r="L23" i="8"/>
  <c r="M23" i="8"/>
  <c r="N23" i="8"/>
  <c r="O23" i="8"/>
  <c r="L27" i="8"/>
  <c r="L28" i="8"/>
  <c r="M28" i="8"/>
  <c r="N28" i="8"/>
  <c r="O28" i="8"/>
  <c r="L30" i="8"/>
  <c r="M30" i="8"/>
  <c r="N30" i="8"/>
  <c r="O30" i="8"/>
  <c r="M6" i="8"/>
  <c r="N6" i="8"/>
  <c r="L6" i="8"/>
  <c r="T35" i="7"/>
  <c r="R23" i="7"/>
  <c r="S23" i="7"/>
  <c r="T23" i="7"/>
  <c r="U23" i="7"/>
  <c r="R24" i="7"/>
  <c r="S24" i="7"/>
  <c r="T24" i="7"/>
  <c r="U24" i="7"/>
  <c r="R25" i="7"/>
  <c r="S25" i="7"/>
  <c r="T25" i="7"/>
  <c r="U25" i="7"/>
  <c r="R26" i="7"/>
  <c r="S26" i="7"/>
  <c r="T26" i="7"/>
  <c r="U26" i="7"/>
  <c r="R27" i="7"/>
  <c r="S27" i="7"/>
  <c r="T27" i="7"/>
  <c r="U27" i="7"/>
  <c r="R28" i="7"/>
  <c r="S28" i="7"/>
  <c r="T28" i="7"/>
  <c r="U28" i="7"/>
  <c r="R29" i="7"/>
  <c r="S29" i="7"/>
  <c r="T29" i="7"/>
  <c r="R30" i="7"/>
  <c r="S30" i="7"/>
  <c r="T30" i="7"/>
  <c r="U30" i="7"/>
  <c r="R31" i="7"/>
  <c r="S31" i="7"/>
  <c r="T31" i="7"/>
  <c r="U31" i="7"/>
  <c r="R32" i="7"/>
  <c r="S32" i="7"/>
  <c r="T32" i="7"/>
  <c r="U32" i="7"/>
  <c r="R33" i="7"/>
  <c r="S33" i="7"/>
  <c r="T33" i="7"/>
  <c r="U33" i="7"/>
  <c r="U35" i="7"/>
  <c r="R37" i="7"/>
  <c r="S37" i="7"/>
  <c r="T37" i="7"/>
  <c r="U37" i="7"/>
  <c r="R38" i="7"/>
  <c r="S38" i="7"/>
  <c r="T38" i="7"/>
  <c r="U38" i="7"/>
  <c r="R39" i="7"/>
  <c r="S39" i="7"/>
  <c r="T39" i="7"/>
  <c r="U39" i="7"/>
  <c r="R40" i="7"/>
  <c r="S40" i="7"/>
  <c r="T40" i="7"/>
  <c r="U40" i="7"/>
  <c r="R41" i="7"/>
  <c r="S41" i="7"/>
  <c r="T41" i="7"/>
  <c r="U41" i="7"/>
  <c r="R42" i="7"/>
  <c r="S42" i="7"/>
  <c r="T42" i="7"/>
  <c r="U42" i="7"/>
  <c r="R43" i="7"/>
  <c r="S43" i="7"/>
  <c r="T43" i="7"/>
  <c r="U43" i="7"/>
  <c r="U22" i="7"/>
  <c r="T22" i="7"/>
  <c r="S22" i="7"/>
  <c r="R22" i="7"/>
  <c r="Q23" i="7"/>
  <c r="Q24" i="7"/>
  <c r="Q25" i="7"/>
  <c r="Q26" i="7"/>
  <c r="Q27" i="7"/>
  <c r="Q28" i="7"/>
  <c r="Q30" i="7"/>
  <c r="Q31" i="7"/>
  <c r="Q32" i="7"/>
  <c r="Q33" i="7"/>
  <c r="Q37" i="7"/>
  <c r="Q38" i="7"/>
  <c r="Q39" i="7"/>
  <c r="Q40" i="7"/>
  <c r="Q41" i="7"/>
  <c r="Q42" i="7"/>
  <c r="Q43" i="7"/>
  <c r="R8" i="7"/>
  <c r="S8" i="7"/>
  <c r="T8" i="7"/>
  <c r="U8" i="7"/>
  <c r="R9" i="7"/>
  <c r="S9" i="7"/>
  <c r="T9" i="7"/>
  <c r="U9" i="7"/>
  <c r="R10" i="7"/>
  <c r="S10" i="7"/>
  <c r="T10" i="7"/>
  <c r="U10" i="7"/>
  <c r="R11" i="7"/>
  <c r="S11" i="7"/>
  <c r="T11" i="7"/>
  <c r="U11" i="7"/>
  <c r="R12" i="7"/>
  <c r="S12" i="7"/>
  <c r="T12" i="7"/>
  <c r="U12" i="7"/>
  <c r="R13" i="7"/>
  <c r="S13" i="7"/>
  <c r="T13" i="7"/>
  <c r="U13" i="7"/>
  <c r="R14" i="7"/>
  <c r="S14" i="7"/>
  <c r="T14" i="7"/>
  <c r="U14" i="7"/>
  <c r="R15" i="7"/>
  <c r="S15" i="7"/>
  <c r="T15" i="7"/>
  <c r="U15" i="7"/>
  <c r="R16" i="7"/>
  <c r="S16" i="7"/>
  <c r="T16" i="7"/>
  <c r="U16" i="7"/>
  <c r="T7" i="7"/>
  <c r="U7" i="7"/>
  <c r="S7" i="7"/>
  <c r="R7" i="7"/>
  <c r="Q13" i="7"/>
  <c r="Q12" i="7"/>
  <c r="Q11" i="7"/>
  <c r="Q8" i="7"/>
  <c r="Q7" i="7"/>
  <c r="Q10" i="7"/>
  <c r="Q14" i="7"/>
  <c r="Q15" i="7"/>
  <c r="Q16" i="7"/>
  <c r="O7" i="7"/>
  <c r="L7" i="7"/>
  <c r="L23" i="7"/>
  <c r="M23" i="7"/>
  <c r="N23" i="7"/>
  <c r="O23" i="7"/>
  <c r="L24" i="7"/>
  <c r="M24" i="7"/>
  <c r="N24" i="7"/>
  <c r="O24" i="7"/>
  <c r="L25" i="7"/>
  <c r="M25" i="7"/>
  <c r="N25" i="7"/>
  <c r="O25" i="7"/>
  <c r="L26" i="7"/>
  <c r="M26" i="7"/>
  <c r="N26" i="7"/>
  <c r="O26" i="7"/>
  <c r="L27" i="7"/>
  <c r="M27" i="7"/>
  <c r="N27" i="7"/>
  <c r="O27" i="7"/>
  <c r="L28" i="7"/>
  <c r="M28" i="7"/>
  <c r="N28" i="7"/>
  <c r="O28" i="7"/>
  <c r="L29" i="7"/>
  <c r="M29" i="7"/>
  <c r="N29" i="7"/>
  <c r="O29" i="7"/>
  <c r="L30" i="7"/>
  <c r="M30" i="7"/>
  <c r="N30" i="7"/>
  <c r="O30" i="7"/>
  <c r="L31" i="7"/>
  <c r="M31" i="7"/>
  <c r="N31" i="7"/>
  <c r="O31" i="7"/>
  <c r="L32" i="7"/>
  <c r="M32" i="7"/>
  <c r="N32" i="7"/>
  <c r="O32" i="7"/>
  <c r="L33" i="7"/>
  <c r="M33" i="7"/>
  <c r="N33" i="7"/>
  <c r="O33" i="7"/>
  <c r="O35" i="7"/>
  <c r="L37" i="7"/>
  <c r="M37" i="7"/>
  <c r="N37" i="7"/>
  <c r="O37" i="7"/>
  <c r="L38" i="7"/>
  <c r="M38" i="7"/>
  <c r="N38" i="7"/>
  <c r="O38" i="7"/>
  <c r="L39" i="7"/>
  <c r="M39" i="7"/>
  <c r="N39" i="7"/>
  <c r="O39" i="7"/>
  <c r="L40" i="7"/>
  <c r="M40" i="7"/>
  <c r="N40" i="7"/>
  <c r="O40" i="7"/>
  <c r="L41" i="7"/>
  <c r="M41" i="7"/>
  <c r="N41" i="7"/>
  <c r="O41" i="7"/>
  <c r="L42" i="7"/>
  <c r="M42" i="7"/>
  <c r="N42" i="7"/>
  <c r="O42" i="7"/>
  <c r="L43" i="7"/>
  <c r="M43" i="7"/>
  <c r="N43" i="7"/>
  <c r="O43" i="7"/>
  <c r="L44" i="7"/>
  <c r="M44" i="7"/>
  <c r="N44" i="7"/>
  <c r="O44" i="7"/>
  <c r="M22" i="7"/>
  <c r="N22" i="7"/>
  <c r="O22" i="7"/>
  <c r="L22" i="7"/>
  <c r="L8" i="7"/>
  <c r="M8" i="7"/>
  <c r="N8" i="7"/>
  <c r="O8" i="7"/>
  <c r="L9" i="7"/>
  <c r="M9" i="7"/>
  <c r="N9" i="7"/>
  <c r="O9" i="7"/>
  <c r="L10" i="7"/>
  <c r="M10" i="7"/>
  <c r="N10" i="7"/>
  <c r="O10" i="7"/>
  <c r="L11" i="7"/>
  <c r="M11" i="7"/>
  <c r="N11" i="7"/>
  <c r="O11" i="7"/>
  <c r="L12" i="7"/>
  <c r="M12" i="7"/>
  <c r="N12" i="7"/>
  <c r="O12" i="7"/>
  <c r="L13" i="7"/>
  <c r="M13" i="7"/>
  <c r="N13" i="7"/>
  <c r="O13" i="7"/>
  <c r="L14" i="7"/>
  <c r="M14" i="7"/>
  <c r="N14" i="7"/>
  <c r="O14" i="7"/>
  <c r="L15" i="7"/>
  <c r="M15" i="7"/>
  <c r="N15" i="7"/>
  <c r="O15" i="7"/>
  <c r="L16" i="7"/>
  <c r="M16" i="7"/>
  <c r="N16" i="7"/>
  <c r="O16" i="7"/>
  <c r="L17" i="7"/>
  <c r="M17" i="7"/>
  <c r="N17" i="7"/>
  <c r="O17" i="7"/>
  <c r="M7" i="7"/>
  <c r="N7" i="7"/>
  <c r="U17" i="9" l="1"/>
  <c r="G31" i="12"/>
  <c r="C107" i="11" s="1"/>
  <c r="G30" i="12"/>
  <c r="C106" i="11" s="1"/>
  <c r="T10" i="9"/>
  <c r="F31" i="12"/>
  <c r="F30" i="12"/>
  <c r="L21" i="9"/>
  <c r="D31" i="12"/>
  <c r="D30" i="12"/>
  <c r="G15" i="8"/>
  <c r="G9" i="12"/>
  <c r="C63" i="11" s="1"/>
  <c r="G11" i="12"/>
  <c r="C65" i="11" s="1"/>
  <c r="G6" i="12"/>
  <c r="F31" i="8"/>
  <c r="F6" i="12"/>
  <c r="N29" i="8"/>
  <c r="F15" i="8"/>
  <c r="F9" i="12"/>
  <c r="E31" i="8"/>
  <c r="N31" i="8" s="1"/>
  <c r="E6" i="12"/>
  <c r="E15" i="8"/>
  <c r="E9" i="12"/>
  <c r="D29" i="8"/>
  <c r="R29" i="8" s="1"/>
  <c r="D15" i="8"/>
  <c r="D9" i="12"/>
  <c r="C9" i="12"/>
  <c r="C6" i="12"/>
  <c r="Q29" i="9"/>
  <c r="R29" i="9"/>
  <c r="U29" i="9"/>
  <c r="Q29" i="8"/>
  <c r="U29" i="8"/>
  <c r="U13" i="9"/>
  <c r="S29" i="8"/>
  <c r="T29" i="8"/>
  <c r="U14" i="9"/>
  <c r="U16" i="9"/>
  <c r="U18" i="9"/>
  <c r="T14" i="9"/>
  <c r="T16" i="9"/>
  <c r="O21" i="9"/>
  <c r="U9" i="9"/>
  <c r="T9" i="9"/>
  <c r="T6" i="9"/>
  <c r="N21" i="9"/>
  <c r="T19" i="9"/>
  <c r="T20" i="9"/>
  <c r="T18" i="9"/>
  <c r="G45" i="9"/>
  <c r="G46" i="9" s="1"/>
  <c r="T11" i="9"/>
  <c r="U19" i="9"/>
  <c r="U10" i="9"/>
  <c r="U11" i="9"/>
  <c r="T12" i="9"/>
  <c r="U12" i="9"/>
  <c r="U20" i="9"/>
  <c r="S22" i="9"/>
  <c r="T8" i="9"/>
  <c r="U6" i="9"/>
  <c r="F45" i="9"/>
  <c r="F46" i="9" s="1"/>
  <c r="T13" i="9"/>
  <c r="U8" i="9"/>
  <c r="T27" i="8"/>
  <c r="U27" i="8"/>
  <c r="O27" i="8"/>
  <c r="N27" i="8"/>
  <c r="Q22" i="9"/>
  <c r="R12" i="9"/>
  <c r="R13" i="9"/>
  <c r="R14" i="9"/>
  <c r="R16" i="9"/>
  <c r="R17" i="9"/>
  <c r="R6" i="9"/>
  <c r="R18" i="9"/>
  <c r="R8" i="9"/>
  <c r="R19" i="9"/>
  <c r="R9" i="9"/>
  <c r="R20" i="9"/>
  <c r="R10" i="9"/>
  <c r="M21" i="9"/>
  <c r="R11" i="9"/>
  <c r="E46" i="9"/>
  <c r="D45" i="9"/>
  <c r="U45" i="7"/>
  <c r="T45" i="7"/>
  <c r="Q18" i="7"/>
  <c r="S45" i="7"/>
  <c r="Q45" i="7"/>
  <c r="R45" i="7"/>
  <c r="S18" i="7"/>
  <c r="T18" i="7"/>
  <c r="R18" i="7"/>
  <c r="U18" i="7"/>
  <c r="C39" i="11" l="1"/>
  <c r="G5" i="12"/>
  <c r="G4" i="12"/>
  <c r="T31" i="8"/>
  <c r="F5" i="12"/>
  <c r="F4" i="12"/>
  <c r="F11" i="12"/>
  <c r="S31" i="8"/>
  <c r="E5" i="12"/>
  <c r="E4" i="12"/>
  <c r="E11" i="12"/>
  <c r="D31" i="8"/>
  <c r="D6" i="12"/>
  <c r="M29" i="8"/>
  <c r="C31" i="8"/>
  <c r="L29" i="8"/>
  <c r="O29" i="8"/>
  <c r="U22" i="9"/>
  <c r="O45" i="9"/>
  <c r="T22" i="9"/>
  <c r="N45" i="9"/>
  <c r="D46" i="9"/>
  <c r="L45" i="9"/>
  <c r="R22" i="9"/>
  <c r="M45" i="9"/>
  <c r="R31" i="8" l="1"/>
  <c r="D5" i="12"/>
  <c r="D4" i="12"/>
  <c r="D11" i="12"/>
  <c r="M31" i="8"/>
  <c r="Q31" i="8"/>
  <c r="C11" i="12"/>
  <c r="C4" i="12"/>
  <c r="C38" i="11" s="1"/>
  <c r="U31" i="8"/>
  <c r="O31" i="8"/>
  <c r="L31" i="8"/>
</calcChain>
</file>

<file path=xl/sharedStrings.xml><?xml version="1.0" encoding="utf-8"?>
<sst xmlns="http://schemas.openxmlformats.org/spreadsheetml/2006/main" count="266" uniqueCount="203">
  <si>
    <t>(Amounts in millions, except per share data)</t>
  </si>
  <si>
    <t>Revenues:</t>
  </si>
  <si>
    <t>Net sales</t>
  </si>
  <si>
    <t>Membership and other income</t>
  </si>
  <si>
    <t>Total revenues</t>
  </si>
  <si>
    <t>Costs and expenses:</t>
  </si>
  <si>
    <t>Interest:</t>
  </si>
  <si>
    <t>Debt</t>
  </si>
  <si>
    <t>Finance lease</t>
  </si>
  <si>
    <t>Interest income</t>
  </si>
  <si>
    <t>Interest, net</t>
  </si>
  <si>
    <t>Loss on extinguishment of debt</t>
  </si>
  <si>
    <t>Other (gains) and losses</t>
  </si>
  <si>
    <t>Consolidated net income</t>
  </si>
  <si>
    <t>Consolidated net (income) loss attributable to noncontrolling interest</t>
  </si>
  <si>
    <t>ASSETS</t>
  </si>
  <si>
    <t>Current assets:</t>
  </si>
  <si>
    <t>Cash and cash equivalents</t>
  </si>
  <si>
    <t>Receivables, net</t>
  </si>
  <si>
    <t>Inventories</t>
  </si>
  <si>
    <t>Prepaid expenses and other</t>
  </si>
  <si>
    <t>Total current assets</t>
  </si>
  <si>
    <t>Property and equipment, net</t>
  </si>
  <si>
    <t>Operating lease right-of-use assets</t>
  </si>
  <si>
    <t>Finance lease right-of-use assets, net</t>
  </si>
  <si>
    <t>Goodwill</t>
  </si>
  <si>
    <t>Other long-term assets</t>
  </si>
  <si>
    <t>Total assets</t>
  </si>
  <si>
    <t>LIABILITIES, REDEEMABLE NONCONTROLLING INTEREST, AND EQUITY</t>
  </si>
  <si>
    <t>Current liabilities:</t>
  </si>
  <si>
    <t>Short-term borrowings</t>
  </si>
  <si>
    <t>Accounts payable</t>
  </si>
  <si>
    <t>Accrued liabilities</t>
  </si>
  <si>
    <t>Accrued income taxes</t>
  </si>
  <si>
    <t>Long-term debt due within one year</t>
  </si>
  <si>
    <t>Operating lease obligations due within one year</t>
  </si>
  <si>
    <t>Finance lease obligations due within one year</t>
  </si>
  <si>
    <t>Total current liabilities</t>
  </si>
  <si>
    <t>Long-term debt</t>
  </si>
  <si>
    <t>Long-term operating lease obligations</t>
  </si>
  <si>
    <t>Long-term finance lease obligations</t>
  </si>
  <si>
    <t>Deferred income taxes and other</t>
  </si>
  <si>
    <t>Commitments and contingencies</t>
  </si>
  <si>
    <t>Redeemable noncontrolling interest</t>
  </si>
  <si>
    <t>Equity:</t>
  </si>
  <si>
    <t>Common stock</t>
  </si>
  <si>
    <t>Capital in excess of par value</t>
  </si>
  <si>
    <t>Retained earnings</t>
  </si>
  <si>
    <t>Accumulated other comprehensive loss</t>
  </si>
  <si>
    <t>Noncontrolling interest</t>
  </si>
  <si>
    <t>Total equity</t>
  </si>
  <si>
    <t>Total liabilities, redeemable noncontrolling interest, and equity</t>
  </si>
  <si>
    <t>(Amounts in millions)</t>
  </si>
  <si>
    <t>Cash flows from operating activities:</t>
  </si>
  <si>
    <t>Adjustments to reconcile consolidated net income to net cash provided by operating activities:</t>
  </si>
  <si>
    <t>Depreciation and amortization</t>
  </si>
  <si>
    <t>Net unrealized and realized (gains) and losses</t>
  </si>
  <si>
    <t>Losses on disposal of business operations</t>
  </si>
  <si>
    <t>Deferred income taxes</t>
  </si>
  <si>
    <t>Other operating activities</t>
  </si>
  <si>
    <t>Net cash provided by operating activities</t>
  </si>
  <si>
    <t>Cash flows from investing activities:</t>
  </si>
  <si>
    <t>Payments for property and equipment</t>
  </si>
  <si>
    <t>Proceeds from the disposal of property and equipment</t>
  </si>
  <si>
    <t>Proceeds from disposal of certain operations, net of divested cash</t>
  </si>
  <si>
    <t>Payments for business acquisitions, net of cash acquired</t>
  </si>
  <si>
    <t>Other investing activities</t>
  </si>
  <si>
    <t>Net cash used in investing activities</t>
  </si>
  <si>
    <t>Cash flows from financing activities:</t>
  </si>
  <si>
    <t>Net change in short-term borrowings</t>
  </si>
  <si>
    <t>Proceeds from issuance of long-term debt</t>
  </si>
  <si>
    <t>Repayments of long-term debt</t>
  </si>
  <si>
    <t>Premiums paid to extinguish debt</t>
  </si>
  <si>
    <t>Dividends paid</t>
  </si>
  <si>
    <t>Purchase of Company stock</t>
  </si>
  <si>
    <t>Dividends paid to noncontrolling interest</t>
  </si>
  <si>
    <t>Purchase of noncontrolling interest</t>
  </si>
  <si>
    <t>Sale of subsidiary stock</t>
  </si>
  <si>
    <t>Other financing activities</t>
  </si>
  <si>
    <t>Net cash used in financing activities</t>
  </si>
  <si>
    <t>Effect of exchange rates on cash, cash equivalents, and restricted cash</t>
  </si>
  <si>
    <t>Net increase (decrease) in cash, cash equivalents, and restricted cash</t>
  </si>
  <si>
    <t>Change in cash and cash equivalents reclassified from assets held for sale</t>
  </si>
  <si>
    <t>Cash, cash equivalents, and restricted cash at beginning of year</t>
  </si>
  <si>
    <t>Cash, cash equivalents, and restricted cash at end of year</t>
  </si>
  <si>
    <t>Asda pension contribution</t>
  </si>
  <si>
    <t>Fiscal Years Ended January 31,</t>
  </si>
  <si>
    <t xml:space="preserve">Read Me </t>
  </si>
  <si>
    <t>Consolidated Balance Sheet</t>
  </si>
  <si>
    <t>Horizontal Analysis</t>
  </si>
  <si>
    <t xml:space="preserve">Vertical Analysis </t>
  </si>
  <si>
    <t>Balance Sheet Analysis</t>
  </si>
  <si>
    <t>Income Statement Analysis</t>
  </si>
  <si>
    <t>Gross Profit</t>
  </si>
  <si>
    <t>Gross Profit Margin</t>
  </si>
  <si>
    <t>Operating income (EBIT)</t>
  </si>
  <si>
    <t>Non-Operating Income as a % of Revenue</t>
  </si>
  <si>
    <t>EBITDA</t>
  </si>
  <si>
    <t>EBITDA Margin (in %)</t>
  </si>
  <si>
    <t>Cost of sales (COGS)</t>
  </si>
  <si>
    <t>Cash Flow Statement Analysis</t>
  </si>
  <si>
    <t xml:space="preserve">Consolidated Cash Flow Statement </t>
  </si>
  <si>
    <t>Changes in certain assets and liabilities, net of effects:</t>
  </si>
  <si>
    <t>Net Change in Cash</t>
  </si>
  <si>
    <t xml:space="preserve">Consolidated net income </t>
  </si>
  <si>
    <t>Total shareholders' equity</t>
  </si>
  <si>
    <t>Net income</t>
  </si>
  <si>
    <t>Income before income taxes (EBT)</t>
  </si>
  <si>
    <t>Analysis</t>
  </si>
  <si>
    <t>Item</t>
  </si>
  <si>
    <t>% of total Current/Non-Current</t>
  </si>
  <si>
    <t>Current Assets</t>
  </si>
  <si>
    <t>Non-Current Assets</t>
  </si>
  <si>
    <t>Current Liabilities</t>
  </si>
  <si>
    <t xml:space="preserve">Long-Term Liabilities </t>
  </si>
  <si>
    <t>% of Total</t>
  </si>
  <si>
    <t>Non-controlling Interest</t>
  </si>
  <si>
    <t>Name</t>
  </si>
  <si>
    <t>Ratio</t>
  </si>
  <si>
    <t>Current Ratio</t>
  </si>
  <si>
    <t>Debt-to-Equity Ratio</t>
  </si>
  <si>
    <t>Quick Ratio</t>
  </si>
  <si>
    <t>Debt Ratio</t>
  </si>
  <si>
    <t>Inventory Turnover Ratio</t>
  </si>
  <si>
    <t>Asset Turnover Ratio</t>
  </si>
  <si>
    <t>Ratio Analysis</t>
  </si>
  <si>
    <t>Profitability Ratio</t>
  </si>
  <si>
    <t>Return on Equity (ROE)</t>
  </si>
  <si>
    <t>Return on Assets (ROA)</t>
  </si>
  <si>
    <t>Return on Capital Employed (ROCE)</t>
  </si>
  <si>
    <t>Gross Margin Ratio</t>
  </si>
  <si>
    <t>Operating Profit Margin (EBIT Margin)</t>
  </si>
  <si>
    <t>EBITDA margin</t>
  </si>
  <si>
    <t>Net Profit Margin</t>
  </si>
  <si>
    <t>Leverage Ratio</t>
  </si>
  <si>
    <t>Equity Ratio</t>
  </si>
  <si>
    <t>Efficiency Ratio</t>
  </si>
  <si>
    <t>Inventory Turnover Days</t>
  </si>
  <si>
    <t>Cash Ratio</t>
  </si>
  <si>
    <t>CAPEX to Operating Cash Ratio</t>
  </si>
  <si>
    <t>Operating Cash Flow Ratio</t>
  </si>
  <si>
    <t>Total Shareholders' Equity</t>
  </si>
  <si>
    <t>Return on Equity (DuPont)</t>
  </si>
  <si>
    <t>view remaining ratios</t>
  </si>
  <si>
    <t>BS | Chart 1.a. - Asset Allocation</t>
  </si>
  <si>
    <t>BS | Chart 1.b.- Asset Allocation</t>
  </si>
  <si>
    <t xml:space="preserve">BS | Financial Ratios </t>
  </si>
  <si>
    <t xml:space="preserve">BS | Chart 2 - Liabilities &amp; Shareholders' Equity </t>
  </si>
  <si>
    <t xml:space="preserve">Figures </t>
  </si>
  <si>
    <t>COGS</t>
  </si>
  <si>
    <t>Operating, selling, general and administrative expenses (SG&amp;A)</t>
  </si>
  <si>
    <t>Depreciation &amp; Amortization (D&amp;A)</t>
  </si>
  <si>
    <t>SG&amp;A</t>
  </si>
  <si>
    <t>D&amp;A</t>
  </si>
  <si>
    <t>Non-Operating Gain/Loss</t>
  </si>
  <si>
    <t>Provision for income taxes (Tax)</t>
  </si>
  <si>
    <t>Tax</t>
  </si>
  <si>
    <t>IS | Waterfall Chart</t>
  </si>
  <si>
    <t xml:space="preserve">IS | Financial Ratios </t>
  </si>
  <si>
    <t>EBITDA Margin</t>
  </si>
  <si>
    <t>EBIT Margin</t>
  </si>
  <si>
    <t>Operating Profit (EBIT) Margin (in %)</t>
  </si>
  <si>
    <t>EBT</t>
  </si>
  <si>
    <t>EBIT</t>
  </si>
  <si>
    <t>Cash from Operating Activities</t>
  </si>
  <si>
    <t>Cash from Investing Activities</t>
  </si>
  <si>
    <t>Cash from Financial Activities</t>
  </si>
  <si>
    <t>Cash at the End of the Period</t>
  </si>
  <si>
    <t>Cash at the Beginning of the Period</t>
  </si>
  <si>
    <t>CF_St | Waterfall Chart</t>
  </si>
  <si>
    <t>Cash Flow to Debt Ratio</t>
  </si>
  <si>
    <t>CF_St | Chart 2</t>
  </si>
  <si>
    <t>CF_St | Chart 3 | Working Capital</t>
  </si>
  <si>
    <t xml:space="preserve">CF_St | Financial Ratios </t>
  </si>
  <si>
    <t>2020 - 1</t>
  </si>
  <si>
    <t>2021 -2</t>
  </si>
  <si>
    <t>2022 - 3</t>
  </si>
  <si>
    <t>2023 - 4</t>
  </si>
  <si>
    <t>2024 - 5</t>
  </si>
  <si>
    <t>Introduction</t>
  </si>
  <si>
    <t>The analysis includes:</t>
  </si>
  <si>
    <t>- Horizontal Analysis: Assessing trends over time by comparing financial data across multiple periods.</t>
  </si>
  <si>
    <t>- Vertical Analysis: Evaluating the relative size of financial components within each statement.</t>
  </si>
  <si>
    <t>- Ratio Analysis: Offering key financial ratios for insights into profitability, liquidity, efficiency, and solvency.</t>
  </si>
  <si>
    <t>Ratio Analysis:</t>
  </si>
  <si>
    <t>Balance Sheet Analysis:</t>
  </si>
  <si>
    <t>Income Statement Analysis:</t>
  </si>
  <si>
    <t>Cash Flow St Analysis:</t>
  </si>
  <si>
    <t>Liquidity &amp; Solvency Ratio</t>
  </si>
  <si>
    <t>Includes the Balance Sheet, horizontal and vertical analysis, and an interactive dashboard that can be filtered by year.</t>
  </si>
  <si>
    <t>Includes the Income Statement, horizontal and vertical analysis, and an interactive dashboard that can be filtered by year.</t>
  </si>
  <si>
    <t>Includes the Cash Flow Statement, horizontal and vertical analysis, and an interactive dashboard that can be filtered by year.</t>
  </si>
  <si>
    <t>Includes the changes in profitability, leverage, efficiency, liquidity, and solvency ratios.</t>
  </si>
  <si>
    <t>Dashboard Engine:</t>
  </si>
  <si>
    <t xml:space="preserve">This sheet powers the calculations behind the interactive dashboards. </t>
  </si>
  <si>
    <t>Engine</t>
  </si>
  <si>
    <t>Free Cash Flow</t>
  </si>
  <si>
    <t>Free Cash Flow Margin</t>
  </si>
  <si>
    <t>Free Cash Flow to Debt Ratio</t>
  </si>
  <si>
    <t>Free Cash Flow to Net Income</t>
  </si>
  <si>
    <t>Dashboards Engine</t>
  </si>
  <si>
    <t>This Excel workbook provides a comprehensive analysis of corporate financial statements, covering the Income Statement, Balance Sheet, and Statement of Cash Flows for the fiscals years 2020-2024.</t>
  </si>
  <si>
    <t>Consolidated Income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</si>
</sst>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\A"/>
    <numFmt numFmtId="165" formatCode="0.0%"/>
    <numFmt numFmtId="166" formatCode="_(* #,##0_);_(* \(#,##0\);_(* &quot;-&quot;??_);_(@_)"/>
    <numFmt numFmtId="167" formatCode="0.000000000000000%"/>
  </numFmts>
  <fonts count="3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0"/>
      <color theme="0"/>
      <name val="Calibri"/>
      <family val="2"/>
    </font>
    <font>
      <b/>
      <sz val="11"/>
      <color theme="0"/>
      <name val="Calibri"/>
      <family val="2"/>
    </font>
    <font>
      <sz val="20"/>
      <color theme="1"/>
      <name val="Calibri"/>
      <family val="2"/>
    </font>
    <font>
      <b/>
      <sz val="20"/>
      <color theme="1"/>
      <name val="Calibri"/>
      <family val="2"/>
    </font>
    <font>
      <sz val="11"/>
      <color theme="0" tint="-0.499984740745262"/>
      <name val="Calibri"/>
      <family val="2"/>
    </font>
    <font>
      <sz val="9"/>
      <color theme="1"/>
      <name val="Calibri"/>
      <family val="2"/>
    </font>
    <font>
      <i/>
      <sz val="10"/>
      <color theme="4" tint="-0.499984740745262"/>
      <name val="Calibri"/>
      <family val="2"/>
    </font>
    <font>
      <b/>
      <sz val="11"/>
      <color theme="4" tint="-0.499984740745262"/>
      <name val="Calibri"/>
      <family val="2"/>
    </font>
    <font>
      <i/>
      <sz val="11"/>
      <color theme="0" tint="-0.499984740745262"/>
      <name val="Calibri"/>
      <family val="2"/>
    </font>
    <font>
      <b/>
      <i/>
      <sz val="11"/>
      <color theme="0" tint="-0.499984740745262"/>
      <name val="Calibri"/>
      <family val="2"/>
    </font>
    <font>
      <b/>
      <sz val="11"/>
      <name val="Calibri"/>
      <family val="2"/>
    </font>
    <font>
      <i/>
      <sz val="11"/>
      <color theme="1"/>
      <name val="Calibri"/>
      <family val="2"/>
    </font>
    <font>
      <i/>
      <sz val="11"/>
      <color rgb="FF00B050"/>
      <name val="Calibri"/>
      <family val="2"/>
    </font>
    <font>
      <i/>
      <sz val="11"/>
      <color theme="0" tint="-0.499984740745262"/>
      <name val="Aptos Narrow"/>
      <family val="2"/>
      <scheme val="minor"/>
    </font>
    <font>
      <b/>
      <i/>
      <sz val="11"/>
      <color theme="0" tint="-0.499984740745262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color theme="1"/>
      <name val="Calibri"/>
      <family val="2"/>
    </font>
    <font>
      <sz val="11"/>
      <color theme="6" tint="-0.499984740745262"/>
      <name val="Calibri"/>
      <family val="2"/>
    </font>
    <font>
      <sz val="8"/>
      <color rgb="FF000000"/>
      <name val="Segoe UI"/>
      <family val="2"/>
    </font>
    <font>
      <sz val="11"/>
      <color theme="0"/>
      <name val="Calibri"/>
      <family val="2"/>
    </font>
    <font>
      <b/>
      <sz val="20"/>
      <color theme="0"/>
      <name val="Calibri"/>
      <family val="2"/>
    </font>
    <font>
      <sz val="20"/>
      <color theme="0"/>
      <name val="Calibri"/>
      <family val="2"/>
    </font>
    <font>
      <i/>
      <u/>
      <sz val="9"/>
      <color theme="5" tint="-0.499984740745262"/>
      <name val="Calibri"/>
      <family val="2"/>
    </font>
    <font>
      <i/>
      <sz val="11"/>
      <color theme="0" tint="-0.34998626667073579"/>
      <name val="Calibri"/>
      <family val="2"/>
    </font>
    <font>
      <b/>
      <sz val="11"/>
      <color theme="6" tint="-0.499984740745262"/>
      <name val="Calibri"/>
      <family val="2"/>
    </font>
    <font>
      <u/>
      <sz val="11"/>
      <color theme="5" tint="-0.499984740745262"/>
      <name val="Calibri"/>
      <family val="2"/>
    </font>
    <font>
      <sz val="11"/>
      <color theme="5" tint="-0.499984740745262"/>
      <name val="Calibri"/>
      <family val="2"/>
    </font>
    <font>
      <b/>
      <sz val="20"/>
      <color theme="5" tint="-0.499984740745262"/>
      <name val="Calibri"/>
      <family val="2"/>
    </font>
    <font>
      <sz val="20"/>
      <color theme="5" tint="-0.49998474074526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5" tint="-0.49998474074526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horizontal="left" vertical="center" indent="1"/>
    </xf>
    <xf numFmtId="38" fontId="0" fillId="0" borderId="0" xfId="1" applyNumberFormat="1" applyFont="1" applyAlignment="1">
      <alignment horizontal="right" vertical="center"/>
    </xf>
    <xf numFmtId="0" fontId="0" fillId="0" borderId="0" xfId="0" applyAlignment="1">
      <alignment horizontal="left"/>
    </xf>
    <xf numFmtId="0" fontId="0" fillId="0" borderId="3" xfId="0" applyBorder="1"/>
    <xf numFmtId="0" fontId="4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3"/>
    </xf>
    <xf numFmtId="38" fontId="4" fillId="0" borderId="0" xfId="1" applyNumberFormat="1" applyFont="1" applyAlignment="1">
      <alignment vertical="center"/>
    </xf>
    <xf numFmtId="0" fontId="5" fillId="0" borderId="0" xfId="0" applyFont="1" applyAlignment="1">
      <alignment horizontal="left" vertical="center" indent="4"/>
    </xf>
    <xf numFmtId="0" fontId="4" fillId="0" borderId="0" xfId="0" applyFont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38" fontId="4" fillId="0" borderId="3" xfId="1" applyNumberFormat="1" applyFont="1" applyBorder="1" applyAlignment="1">
      <alignment vertical="center"/>
    </xf>
    <xf numFmtId="38" fontId="4" fillId="0" borderId="0" xfId="1" applyNumberFormat="1" applyFont="1" applyBorder="1" applyAlignment="1">
      <alignment vertical="center"/>
    </xf>
    <xf numFmtId="0" fontId="4" fillId="0" borderId="3" xfId="0" applyFont="1" applyBorder="1" applyAlignment="1">
      <alignment horizontal="left" vertical="center" indent="3"/>
    </xf>
    <xf numFmtId="0" fontId="6" fillId="3" borderId="0" xfId="0" applyFont="1" applyFill="1"/>
    <xf numFmtId="0" fontId="7" fillId="3" borderId="0" xfId="0" applyFont="1" applyFill="1" applyAlignment="1">
      <alignment horizontal="centerContinuous" vertical="center"/>
    </xf>
    <xf numFmtId="38" fontId="5" fillId="0" borderId="0" xfId="1" applyNumberFormat="1" applyFont="1" applyAlignment="1">
      <alignment vertical="center"/>
    </xf>
    <xf numFmtId="9" fontId="4" fillId="0" borderId="0" xfId="2" applyFont="1"/>
    <xf numFmtId="9" fontId="4" fillId="0" borderId="3" xfId="2" applyFont="1" applyBorder="1"/>
    <xf numFmtId="9" fontId="5" fillId="0" borderId="0" xfId="2" applyFont="1"/>
    <xf numFmtId="9" fontId="10" fillId="0" borderId="0" xfId="2" applyFont="1"/>
    <xf numFmtId="165" fontId="4" fillId="0" borderId="0" xfId="2" applyNumberFormat="1" applyFont="1"/>
    <xf numFmtId="0" fontId="11" fillId="0" borderId="0" xfId="0" applyFont="1" applyAlignment="1">
      <alignment horizontal="center" vertical="center"/>
    </xf>
    <xf numFmtId="9" fontId="5" fillId="0" borderId="1" xfId="2" applyFont="1" applyBorder="1" applyAlignment="1">
      <alignment vertical="center"/>
    </xf>
    <xf numFmtId="9" fontId="5" fillId="0" borderId="4" xfId="2" applyFont="1" applyBorder="1" applyAlignment="1">
      <alignment vertical="center"/>
    </xf>
    <xf numFmtId="165" fontId="5" fillId="0" borderId="1" xfId="2" applyNumberFormat="1" applyFont="1" applyBorder="1" applyAlignment="1">
      <alignment vertical="center"/>
    </xf>
    <xf numFmtId="165" fontId="5" fillId="0" borderId="1" xfId="2" applyNumberFormat="1" applyFont="1" applyBorder="1"/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 wrapText="1"/>
    </xf>
    <xf numFmtId="164" fontId="13" fillId="2" borderId="0" xfId="0" applyNumberFormat="1" applyFont="1" applyFill="1" applyAlignment="1">
      <alignment horizontal="center" vertical="center"/>
    </xf>
    <xf numFmtId="0" fontId="5" fillId="4" borderId="2" xfId="0" applyFont="1" applyFill="1" applyBorder="1" applyAlignment="1">
      <alignment horizontal="left" vertical="center" indent="1"/>
    </xf>
    <xf numFmtId="38" fontId="5" fillId="4" borderId="2" xfId="1" applyNumberFormat="1" applyFont="1" applyFill="1" applyBorder="1" applyAlignment="1">
      <alignment vertical="center"/>
    </xf>
    <xf numFmtId="9" fontId="5" fillId="4" borderId="2" xfId="2" applyFont="1" applyFill="1" applyBorder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38" fontId="4" fillId="0" borderId="0" xfId="1" applyNumberFormat="1" applyFont="1" applyFill="1" applyAlignment="1">
      <alignment vertical="center"/>
    </xf>
    <xf numFmtId="38" fontId="4" fillId="0" borderId="0" xfId="1" applyNumberFormat="1" applyFont="1" applyFill="1" applyBorder="1" applyAlignment="1">
      <alignment vertical="center"/>
    </xf>
    <xf numFmtId="0" fontId="4" fillId="0" borderId="0" xfId="0" applyFont="1" applyAlignment="1">
      <alignment horizontal="left" vertical="center" indent="2"/>
    </xf>
    <xf numFmtId="0" fontId="5" fillId="0" borderId="3" xfId="0" applyFont="1" applyBorder="1" applyAlignment="1">
      <alignment horizontal="left" vertical="center" indent="3"/>
    </xf>
    <xf numFmtId="38" fontId="5" fillId="0" borderId="3" xfId="1" applyNumberFormat="1" applyFont="1" applyBorder="1" applyAlignment="1">
      <alignment vertical="center"/>
    </xf>
    <xf numFmtId="0" fontId="5" fillId="0" borderId="3" xfId="0" applyFont="1" applyBorder="1" applyAlignment="1">
      <alignment horizontal="left" vertical="center" indent="1"/>
    </xf>
    <xf numFmtId="0" fontId="5" fillId="0" borderId="0" xfId="0" applyFont="1" applyAlignment="1">
      <alignment horizontal="left" vertical="center" indent="3"/>
    </xf>
    <xf numFmtId="165" fontId="10" fillId="0" borderId="0" xfId="2" applyNumberFormat="1" applyFont="1"/>
    <xf numFmtId="9" fontId="14" fillId="0" borderId="0" xfId="0" applyNumberFormat="1" applyFont="1"/>
    <xf numFmtId="9" fontId="15" fillId="4" borderId="2" xfId="2" applyFont="1" applyFill="1" applyBorder="1" applyAlignment="1">
      <alignment vertical="center"/>
    </xf>
    <xf numFmtId="0" fontId="14" fillId="0" borderId="0" xfId="0" applyFont="1"/>
    <xf numFmtId="9" fontId="14" fillId="0" borderId="3" xfId="0" applyNumberFormat="1" applyFont="1" applyBorder="1"/>
    <xf numFmtId="9" fontId="15" fillId="0" borderId="0" xfId="0" applyNumberFormat="1" applyFont="1"/>
    <xf numFmtId="9" fontId="15" fillId="0" borderId="1" xfId="2" applyFont="1" applyBorder="1" applyAlignment="1">
      <alignment vertical="center"/>
    </xf>
    <xf numFmtId="9" fontId="15" fillId="0" borderId="4" xfId="2" applyFont="1" applyBorder="1" applyAlignment="1">
      <alignment vertical="center"/>
    </xf>
    <xf numFmtId="9" fontId="15" fillId="4" borderId="2" xfId="0" applyNumberFormat="1" applyFont="1" applyFill="1" applyBorder="1"/>
    <xf numFmtId="165" fontId="5" fillId="4" borderId="2" xfId="2" applyNumberFormat="1" applyFont="1" applyFill="1" applyBorder="1"/>
    <xf numFmtId="165" fontId="4" fillId="0" borderId="3" xfId="2" applyNumberFormat="1" applyFont="1" applyBorder="1"/>
    <xf numFmtId="165" fontId="14" fillId="0" borderId="3" xfId="2" applyNumberFormat="1" applyFont="1" applyBorder="1"/>
    <xf numFmtId="0" fontId="16" fillId="4" borderId="2" xfId="0" applyFont="1" applyFill="1" applyBorder="1" applyAlignment="1">
      <alignment horizontal="left" vertical="center" indent="1"/>
    </xf>
    <xf numFmtId="38" fontId="16" fillId="4" borderId="2" xfId="1" applyNumberFormat="1" applyFont="1" applyFill="1" applyBorder="1" applyAlignment="1">
      <alignment vertical="center"/>
    </xf>
    <xf numFmtId="38" fontId="18" fillId="0" borderId="0" xfId="1" applyNumberFormat="1" applyFont="1" applyAlignment="1">
      <alignment vertical="center"/>
    </xf>
    <xf numFmtId="38" fontId="5" fillId="0" borderId="0" xfId="1" applyNumberFormat="1" applyFont="1" applyBorder="1" applyAlignment="1">
      <alignment vertical="center"/>
    </xf>
    <xf numFmtId="165" fontId="4" fillId="0" borderId="0" xfId="2" applyNumberFormat="1" applyFont="1" applyBorder="1"/>
    <xf numFmtId="10" fontId="18" fillId="0" borderId="0" xfId="2" applyNumberFormat="1" applyFont="1" applyBorder="1" applyAlignment="1">
      <alignment vertical="center"/>
    </xf>
    <xf numFmtId="10" fontId="18" fillId="0" borderId="0" xfId="2" applyNumberFormat="1" applyFont="1" applyAlignment="1">
      <alignment vertical="center"/>
    </xf>
    <xf numFmtId="166" fontId="4" fillId="0" borderId="0" xfId="1" applyNumberFormat="1" applyFont="1"/>
    <xf numFmtId="0" fontId="4" fillId="0" borderId="0" xfId="0" applyFont="1" applyAlignment="1">
      <alignment vertical="center" wrapText="1"/>
    </xf>
    <xf numFmtId="2" fontId="4" fillId="0" borderId="0" xfId="0" applyNumberFormat="1" applyFont="1"/>
    <xf numFmtId="0" fontId="17" fillId="0" borderId="0" xfId="0" applyFont="1"/>
    <xf numFmtId="38" fontId="18" fillId="0" borderId="0" xfId="0" applyNumberFormat="1" applyFont="1"/>
    <xf numFmtId="10" fontId="18" fillId="0" borderId="0" xfId="2" applyNumberFormat="1" applyFont="1"/>
    <xf numFmtId="9" fontId="0" fillId="0" borderId="0" xfId="0" applyNumberFormat="1"/>
    <xf numFmtId="38" fontId="0" fillId="0" borderId="0" xfId="0" applyNumberFormat="1"/>
    <xf numFmtId="165" fontId="4" fillId="0" borderId="0" xfId="0" applyNumberFormat="1" applyFont="1"/>
    <xf numFmtId="165" fontId="0" fillId="0" borderId="0" xfId="2" applyNumberFormat="1" applyFont="1"/>
    <xf numFmtId="9" fontId="19" fillId="0" borderId="0" xfId="0" applyNumberFormat="1" applyFont="1"/>
    <xf numFmtId="0" fontId="19" fillId="0" borderId="0" xfId="0" applyFont="1"/>
    <xf numFmtId="9" fontId="20" fillId="0" borderId="0" xfId="0" applyNumberFormat="1" applyFont="1"/>
    <xf numFmtId="165" fontId="2" fillId="0" borderId="0" xfId="2" applyNumberFormat="1" applyFont="1"/>
    <xf numFmtId="165" fontId="21" fillId="0" borderId="0" xfId="2" applyNumberFormat="1" applyFont="1"/>
    <xf numFmtId="165" fontId="21" fillId="0" borderId="0" xfId="0" applyNumberFormat="1" applyFont="1" applyAlignment="1">
      <alignment horizontal="center" vertical="center"/>
    </xf>
    <xf numFmtId="0" fontId="22" fillId="0" borderId="0" xfId="0" applyFont="1"/>
    <xf numFmtId="166" fontId="0" fillId="0" borderId="0" xfId="0" applyNumberFormat="1"/>
    <xf numFmtId="165" fontId="21" fillId="0" borderId="0" xfId="0" applyNumberFormat="1" applyFont="1"/>
    <xf numFmtId="0" fontId="4" fillId="0" borderId="0" xfId="0" applyFont="1" applyAlignment="1">
      <alignment horizontal="left" vertical="center"/>
    </xf>
    <xf numFmtId="0" fontId="23" fillId="0" borderId="0" xfId="0" applyFont="1"/>
    <xf numFmtId="0" fontId="7" fillId="5" borderId="6" xfId="0" applyFont="1" applyFill="1" applyBorder="1" applyAlignment="1">
      <alignment horizontal="left" indent="1"/>
    </xf>
    <xf numFmtId="0" fontId="7" fillId="5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indent="3"/>
    </xf>
    <xf numFmtId="0" fontId="7" fillId="5" borderId="8" xfId="0" applyFont="1" applyFill="1" applyBorder="1" applyAlignment="1">
      <alignment horizontal="left" indent="1"/>
    </xf>
    <xf numFmtId="0" fontId="25" fillId="5" borderId="9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left" indent="1"/>
    </xf>
    <xf numFmtId="0" fontId="25" fillId="5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left" indent="1"/>
    </xf>
    <xf numFmtId="0" fontId="26" fillId="5" borderId="0" xfId="0" applyFont="1" applyFill="1" applyAlignment="1">
      <alignment horizontal="left" vertical="center"/>
    </xf>
    <xf numFmtId="0" fontId="27" fillId="5" borderId="0" xfId="0" applyFont="1" applyFill="1" applyAlignment="1">
      <alignment horizontal="left" vertical="center"/>
    </xf>
    <xf numFmtId="0" fontId="25" fillId="5" borderId="0" xfId="0" applyFont="1" applyFill="1"/>
    <xf numFmtId="10" fontId="4" fillId="0" borderId="6" xfId="2" applyNumberFormat="1" applyFont="1" applyBorder="1" applyAlignment="1">
      <alignment horizontal="center" vertical="center"/>
    </xf>
    <xf numFmtId="2" fontId="4" fillId="0" borderId="6" xfId="2" applyNumberFormat="1" applyFont="1" applyBorder="1" applyAlignment="1">
      <alignment horizontal="center" vertical="center"/>
    </xf>
    <xf numFmtId="0" fontId="28" fillId="0" borderId="0" xfId="3" applyFont="1"/>
    <xf numFmtId="0" fontId="0" fillId="0" borderId="0" xfId="0" applyAlignment="1">
      <alignment wrapText="1"/>
    </xf>
    <xf numFmtId="38" fontId="4" fillId="0" borderId="0" xfId="1" applyNumberFormat="1" applyFont="1"/>
    <xf numFmtId="0" fontId="29" fillId="0" borderId="0" xfId="0" applyFont="1" applyAlignment="1">
      <alignment horizontal="left" vertical="center" indent="2"/>
    </xf>
    <xf numFmtId="38" fontId="29" fillId="0" borderId="0" xfId="1" applyNumberFormat="1" applyFont="1" applyAlignment="1">
      <alignment vertical="center"/>
    </xf>
    <xf numFmtId="10" fontId="29" fillId="0" borderId="0" xfId="2" applyNumberFormat="1" applyFont="1" applyAlignment="1">
      <alignment vertical="center"/>
    </xf>
    <xf numFmtId="0" fontId="29" fillId="0" borderId="0" xfId="0" applyFont="1" applyAlignment="1">
      <alignment horizontal="left" indent="2"/>
    </xf>
    <xf numFmtId="38" fontId="29" fillId="0" borderId="0" xfId="0" applyNumberFormat="1" applyFont="1"/>
    <xf numFmtId="10" fontId="29" fillId="0" borderId="0" xfId="2" applyNumberFormat="1" applyFont="1"/>
    <xf numFmtId="0" fontId="29" fillId="0" borderId="0" xfId="0" applyFont="1" applyAlignment="1">
      <alignment horizontal="left" vertical="center" indent="1"/>
    </xf>
    <xf numFmtId="10" fontId="29" fillId="0" borderId="0" xfId="2" applyNumberFormat="1" applyFont="1" applyBorder="1" applyAlignment="1">
      <alignment vertical="center"/>
    </xf>
    <xf numFmtId="0" fontId="7" fillId="5" borderId="0" xfId="0" applyFont="1" applyFill="1"/>
    <xf numFmtId="0" fontId="30" fillId="2" borderId="3" xfId="0" applyFont="1" applyFill="1" applyBorder="1"/>
    <xf numFmtId="0" fontId="30" fillId="2" borderId="3" xfId="0" quotePrefix="1" applyFont="1" applyFill="1" applyBorder="1"/>
    <xf numFmtId="0" fontId="4" fillId="0" borderId="5" xfId="0" applyFont="1" applyBorder="1"/>
    <xf numFmtId="0" fontId="4" fillId="0" borderId="3" xfId="0" applyFont="1" applyBorder="1"/>
    <xf numFmtId="165" fontId="11" fillId="0" borderId="0" xfId="0" applyNumberFormat="1" applyFont="1"/>
    <xf numFmtId="10" fontId="4" fillId="0" borderId="0" xfId="0" applyNumberFormat="1" applyFont="1"/>
    <xf numFmtId="9" fontId="11" fillId="0" borderId="0" xfId="0" applyNumberFormat="1" applyFont="1" applyAlignment="1">
      <alignment horizontal="center"/>
    </xf>
    <xf numFmtId="10" fontId="4" fillId="0" borderId="0" xfId="2" applyNumberFormat="1" applyFont="1"/>
    <xf numFmtId="0" fontId="30" fillId="2" borderId="3" xfId="0" quotePrefix="1" applyFont="1" applyFill="1" applyBorder="1" applyAlignment="1">
      <alignment horizontal="center"/>
    </xf>
    <xf numFmtId="167" fontId="4" fillId="0" borderId="0" xfId="0" applyNumberFormat="1" applyFont="1"/>
    <xf numFmtId="2" fontId="4" fillId="0" borderId="0" xfId="0" applyNumberFormat="1" applyFont="1" applyAlignment="1">
      <alignment horizontal="center"/>
    </xf>
    <xf numFmtId="40" fontId="4" fillId="0" borderId="0" xfId="0" applyNumberFormat="1" applyFont="1" applyAlignment="1">
      <alignment horizontal="center"/>
    </xf>
    <xf numFmtId="38" fontId="4" fillId="0" borderId="0" xfId="0" applyNumberFormat="1" applyFont="1"/>
    <xf numFmtId="0" fontId="11" fillId="0" borderId="0" xfId="0" applyFont="1"/>
    <xf numFmtId="10" fontId="4" fillId="0" borderId="0" xfId="2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10" fontId="4" fillId="0" borderId="0" xfId="2" applyNumberFormat="1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0" fontId="5" fillId="0" borderId="10" xfId="0" applyFont="1" applyBorder="1" applyAlignment="1">
      <alignment horizontal="left" indent="1"/>
    </xf>
    <xf numFmtId="0" fontId="4" fillId="0" borderId="10" xfId="0" applyFont="1" applyBorder="1"/>
    <xf numFmtId="0" fontId="4" fillId="0" borderId="0" xfId="0" applyFont="1" applyAlignment="1">
      <alignment horizontal="left" indent="4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 indent="6"/>
    </xf>
    <xf numFmtId="0" fontId="31" fillId="0" borderId="0" xfId="3" applyFont="1" applyAlignment="1">
      <alignment horizontal="left" indent="4"/>
    </xf>
    <xf numFmtId="0" fontId="4" fillId="0" borderId="0" xfId="0" applyFont="1" applyAlignment="1">
      <alignment horizontal="left" indent="2"/>
    </xf>
    <xf numFmtId="0" fontId="32" fillId="0" borderId="0" xfId="0" applyFont="1" applyAlignment="1">
      <alignment horizontal="left" indent="4"/>
    </xf>
    <xf numFmtId="0" fontId="5" fillId="0" borderId="4" xfId="0" applyFont="1" applyBorder="1" applyAlignment="1">
      <alignment horizontal="left" vertical="center" indent="1"/>
    </xf>
    <xf numFmtId="38" fontId="5" fillId="0" borderId="4" xfId="1" applyNumberFormat="1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38" fontId="4" fillId="0" borderId="0" xfId="1" applyNumberFormat="1" applyFont="1" applyAlignment="1">
      <alignment horizontal="right" vertical="center"/>
    </xf>
    <xf numFmtId="0" fontId="4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indent="4"/>
    </xf>
    <xf numFmtId="0" fontId="4" fillId="0" borderId="0" xfId="0" applyFont="1" applyAlignment="1">
      <alignment horizontal="left" vertical="center" indent="6"/>
    </xf>
    <xf numFmtId="38" fontId="5" fillId="0" borderId="3" xfId="1" applyNumberFormat="1" applyFont="1" applyBorder="1" applyAlignment="1">
      <alignment horizontal="right" vertical="center"/>
    </xf>
    <xf numFmtId="0" fontId="17" fillId="0" borderId="0" xfId="0" applyFont="1" applyAlignment="1">
      <alignment horizontal="left" vertical="center" indent="1"/>
    </xf>
    <xf numFmtId="38" fontId="17" fillId="0" borderId="0" xfId="1" applyNumberFormat="1" applyFont="1" applyAlignment="1">
      <alignment horizontal="right" vertical="center"/>
    </xf>
    <xf numFmtId="38" fontId="5" fillId="4" borderId="2" xfId="1" applyNumberFormat="1" applyFont="1" applyFill="1" applyBorder="1" applyAlignment="1">
      <alignment horizontal="right" vertical="center"/>
    </xf>
    <xf numFmtId="166" fontId="29" fillId="0" borderId="0" xfId="1" applyNumberFormat="1" applyFont="1" applyAlignment="1">
      <alignment horizontal="left" vertical="center" indent="1"/>
    </xf>
    <xf numFmtId="166" fontId="29" fillId="0" borderId="0" xfId="1" applyNumberFormat="1" applyFont="1" applyBorder="1" applyAlignment="1">
      <alignment horizontal="right" vertical="center"/>
    </xf>
    <xf numFmtId="10" fontId="4" fillId="0" borderId="0" xfId="2" applyNumberFormat="1" applyFont="1" applyAlignment="1">
      <alignment horizontal="right" vertical="center"/>
    </xf>
    <xf numFmtId="0" fontId="32" fillId="2" borderId="0" xfId="0" applyFont="1" applyFill="1"/>
    <xf numFmtId="0" fontId="33" fillId="2" borderId="0" xfId="0" applyFont="1" applyFill="1" applyAlignment="1">
      <alignment horizontal="left" vertical="center"/>
    </xf>
    <xf numFmtId="0" fontId="3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top" wrapText="1" indent="2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8"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B050"/>
      </font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</dxfs>
  <tableStyles count="0" defaultTableStyle="TableStyleMedium2" defaultPivotStyle="PivotStyleLight16"/>
  <colors>
    <mruColors>
      <color rgb="FFFF6D6D"/>
      <color rgb="FF7A0000"/>
      <color rgb="FFFFC5C5"/>
      <color rgb="FFF8EB9E"/>
      <color rgb="FFF1D73D"/>
      <color rgb="FFD5FFE8"/>
      <color rgb="FF8BFFBF"/>
      <color rgb="FF00DE64"/>
      <color rgb="FF37FF91"/>
      <color rgb="FF8FC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0603705341039162"/>
          <c:y val="4.3088105941969353E-3"/>
          <c:w val="0.47276813291404374"/>
          <c:h val="0.62022486841207758"/>
        </c:manualLayout>
      </c:layout>
      <c:doughnutChart>
        <c:varyColors val="1"/>
        <c:ser>
          <c:idx val="0"/>
          <c:order val="0"/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40-4AF3-99FD-955255F763CC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40-4AF3-99FD-955255F763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'Dashboards Engine'!$B$18:$B$19</c:f>
              <c:strCache>
                <c:ptCount val="2"/>
                <c:pt idx="0">
                  <c:v>Current Assets</c:v>
                </c:pt>
                <c:pt idx="1">
                  <c:v>Non-Current Assets</c:v>
                </c:pt>
              </c:strCache>
            </c:strRef>
          </c:cat>
          <c:val>
            <c:numRef>
              <c:f>'Dashboards Engine'!$C$18:$C$19</c:f>
              <c:numCache>
                <c:formatCode>0%</c:formatCode>
                <c:ptCount val="2"/>
                <c:pt idx="0">
                  <c:v>0.26134167741389885</c:v>
                </c:pt>
                <c:pt idx="1">
                  <c:v>0.7386583225861012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40-4AF3-99FD-955255F76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54"/>
        <c:holeSize val="65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1202449585742902"/>
          <c:y val="0.2054673001406267"/>
          <c:w val="0.26730293574315228"/>
          <c:h val="0.19637127285360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218926942724959"/>
          <c:y val="0.18942307692307692"/>
          <c:w val="0.45326688741974891"/>
          <c:h val="0.79038461538461535"/>
        </c:manualLayout>
      </c:layout>
      <c:doughnutChart>
        <c:varyColors val="1"/>
        <c:ser>
          <c:idx val="0"/>
          <c:order val="0"/>
          <c:spPr>
            <a:ln w="9525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D5FFE8"/>
              </a:solidFill>
              <a:ln w="95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7A-490A-94A7-4863C202958F}"/>
              </c:ext>
            </c:extLst>
          </c:dPt>
          <c:dPt>
            <c:idx val="1"/>
            <c:bubble3D val="0"/>
            <c:spPr>
              <a:solidFill>
                <a:srgbClr val="8BFFBF"/>
              </a:solidFill>
              <a:ln w="95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7A-490A-94A7-4863C202958F}"/>
              </c:ext>
            </c:extLst>
          </c:dPt>
          <c:dPt>
            <c:idx val="2"/>
            <c:bubble3D val="0"/>
            <c:spPr>
              <a:solidFill>
                <a:srgbClr val="37FF91"/>
              </a:solidFill>
              <a:ln w="95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7A-490A-94A7-4863C202958F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95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77A-490A-94A7-4863C202958F}"/>
              </c:ext>
            </c:extLst>
          </c:dPt>
          <c:dPt>
            <c:idx val="4"/>
            <c:bubble3D val="0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77A-490A-94A7-4863C202958F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77A-490A-94A7-4863C202958F}"/>
              </c:ext>
            </c:extLst>
          </c:dPt>
          <c:dPt>
            <c:idx val="6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77A-490A-94A7-4863C20295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77A-490A-94A7-4863C202958F}"/>
              </c:ext>
            </c:extLst>
          </c:dPt>
          <c:dPt>
            <c:idx val="8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77A-490A-94A7-4863C202958F}"/>
              </c:ext>
            </c:extLst>
          </c:dPt>
          <c:dLbls>
            <c:dLbl>
              <c:idx val="0"/>
              <c:layout>
                <c:manualLayout>
                  <c:x val="3.3048702418569574E-2"/>
                  <c:y val="-0.15136644457904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7A-490A-94A7-4863C202958F}"/>
                </c:ext>
              </c:extLst>
            </c:dLbl>
            <c:dLbl>
              <c:idx val="1"/>
              <c:layout>
                <c:manualLayout>
                  <c:x val="0.16982793864502357"/>
                  <c:y val="-8.96565749674574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505044882054138"/>
                      <c:h val="0.135835547824019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77A-490A-94A7-4863C202958F}"/>
                </c:ext>
              </c:extLst>
            </c:dLbl>
            <c:dLbl>
              <c:idx val="2"/>
              <c:layout>
                <c:manualLayout>
                  <c:x val="0.10807823592976981"/>
                  <c:y val="-4.771744397334948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7A-490A-94A7-4863C202958F}"/>
                </c:ext>
              </c:extLst>
            </c:dLbl>
            <c:dLbl>
              <c:idx val="3"/>
              <c:layout>
                <c:manualLayout>
                  <c:x val="0.14998612333110914"/>
                  <c:y val="4.691096305269533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77A-490A-94A7-4863C202958F}"/>
                </c:ext>
              </c:extLst>
            </c:dLbl>
            <c:dLbl>
              <c:idx val="4"/>
              <c:layout>
                <c:manualLayout>
                  <c:x val="-0.27769547205097134"/>
                  <c:y val="-6.57297444345368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77A-490A-94A7-4863C202958F}"/>
                </c:ext>
              </c:extLst>
            </c:dLbl>
            <c:dLbl>
              <c:idx val="5"/>
              <c:layout>
                <c:manualLayout>
                  <c:x val="-0.19069574405042422"/>
                  <c:y val="6.18297640817930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686946518032891"/>
                      <c:h val="0.1783824954572985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277A-490A-94A7-4863C202958F}"/>
                </c:ext>
              </c:extLst>
            </c:dLbl>
            <c:dLbl>
              <c:idx val="6"/>
              <c:layout>
                <c:manualLayout>
                  <c:x val="-0.22064814327827209"/>
                  <c:y val="-8.831713694137567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79990190810276"/>
                      <c:h val="0.14301907934585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277A-490A-94A7-4863C202958F}"/>
                </c:ext>
              </c:extLst>
            </c:dLbl>
            <c:dLbl>
              <c:idx val="7"/>
              <c:layout>
                <c:manualLayout>
                  <c:x val="-0.12119073281663728"/>
                  <c:y val="-7.643185947910360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77A-490A-94A7-4863C202958F}"/>
                </c:ext>
              </c:extLst>
            </c:dLbl>
            <c:dLbl>
              <c:idx val="8"/>
              <c:layout>
                <c:manualLayout>
                  <c:x val="-5.8371452201214841E-2"/>
                  <c:y val="-0.1655381586917019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375314395993236"/>
                      <c:h val="0.161894912174439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277A-490A-94A7-4863C20295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accent2">
                      <a:lumMod val="60000"/>
                      <a:lumOff val="4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'Dashboards Engine'!$B$5:$B$13</c:f>
              <c:strCache>
                <c:ptCount val="9"/>
                <c:pt idx="0">
                  <c:v>Cash and cash equivalents</c:v>
                </c:pt>
                <c:pt idx="1">
                  <c:v>Receivables, net</c:v>
                </c:pt>
                <c:pt idx="2">
                  <c:v>Inventories</c:v>
                </c:pt>
                <c:pt idx="3">
                  <c:v>Prepaid expenses and other</c:v>
                </c:pt>
                <c:pt idx="4">
                  <c:v>Property and equipment, net</c:v>
                </c:pt>
                <c:pt idx="5">
                  <c:v>Operating lease right-of-use assets</c:v>
                </c:pt>
                <c:pt idx="6">
                  <c:v>Finance lease right-of-use assets, net</c:v>
                </c:pt>
                <c:pt idx="7">
                  <c:v>Goodwill</c:v>
                </c:pt>
                <c:pt idx="8">
                  <c:v>Other long-term assets</c:v>
                </c:pt>
              </c:strCache>
            </c:strRef>
          </c:cat>
          <c:val>
            <c:numRef>
              <c:f>'Dashboards Engine'!$C$5:$C$13</c:f>
              <c:numCache>
                <c:formatCode>0.0%</c:formatCode>
                <c:ptCount val="9"/>
                <c:pt idx="0">
                  <c:v>4.0021987779868498E-2</c:v>
                </c:pt>
                <c:pt idx="1">
                  <c:v>2.6571386287236518E-2</c:v>
                </c:pt>
                <c:pt idx="2">
                  <c:v>0.1878898073955052</c:v>
                </c:pt>
                <c:pt idx="3">
                  <c:v>6.8584959512886104E-3</c:v>
                </c:pt>
                <c:pt idx="4">
                  <c:v>0.44486352777014315</c:v>
                </c:pt>
                <c:pt idx="5">
                  <c:v>7.3675976236284066E-2</c:v>
                </c:pt>
                <c:pt idx="6">
                  <c:v>1.8676927630605297E-2</c:v>
                </c:pt>
                <c:pt idx="7">
                  <c:v>0.13138966997188101</c:v>
                </c:pt>
                <c:pt idx="8">
                  <c:v>7.0052220977187676E-2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77A-490A-94A7-4863C2029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 w="28575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6D6D"/>
              </a:solidFill>
              <a:ln w="285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F-4658-9886-48CE9C608050}"/>
              </c:ext>
            </c:extLst>
          </c:dPt>
          <c:dPt>
            <c:idx val="1"/>
            <c:bubble3D val="0"/>
            <c:spPr>
              <a:solidFill>
                <a:srgbClr val="7A0000"/>
              </a:solidFill>
              <a:ln w="285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F-4658-9886-48CE9C608050}"/>
              </c:ext>
            </c:extLst>
          </c:dPt>
          <c:dPt>
            <c:idx val="2"/>
            <c:bubble3D val="0"/>
            <c:spPr>
              <a:solidFill>
                <a:srgbClr val="F8EB9E"/>
              </a:solidFill>
              <a:ln w="285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F-4658-9886-48CE9C608050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285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CF-4658-9886-48CE9C608050}"/>
              </c:ext>
            </c:extLst>
          </c:dPt>
          <c:dLbls>
            <c:dLbl>
              <c:idx val="0"/>
              <c:layout>
                <c:manualLayout>
                  <c:x val="0.19251543765541151"/>
                  <c:y val="-0.1480676671015873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68348071575702"/>
                      <c:h val="0.264974218883511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CF-4658-9886-48CE9C608050}"/>
                </c:ext>
              </c:extLst>
            </c:dLbl>
            <c:dLbl>
              <c:idx val="1"/>
              <c:layout>
                <c:manualLayout>
                  <c:x val="0.32809157714614617"/>
                  <c:y val="3.381543838667474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261936440770389"/>
                      <c:h val="0.250607269981663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3CF-4658-9886-48CE9C608050}"/>
                </c:ext>
              </c:extLst>
            </c:dLbl>
            <c:dLbl>
              <c:idx val="2"/>
              <c:layout>
                <c:manualLayout>
                  <c:x val="-0.20113438375290957"/>
                  <c:y val="0.1199823162435378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075672287951906"/>
                      <c:h val="0.343535809424303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3CF-4658-9886-48CE9C608050}"/>
                </c:ext>
              </c:extLst>
            </c:dLbl>
            <c:dLbl>
              <c:idx val="3"/>
              <c:layout>
                <c:manualLayout>
                  <c:x val="-0.19004119330249655"/>
                  <c:y val="-0.1631217014080928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252495684288766"/>
                      <c:h val="0.317722781927960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3CF-4658-9886-48CE9C6080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'Dashboards Engine'!$B$26:$B$29</c:f>
              <c:strCache>
                <c:ptCount val="4"/>
                <c:pt idx="0">
                  <c:v>Current Liabilities</c:v>
                </c:pt>
                <c:pt idx="1">
                  <c:v>Long-Term Liabilities </c:v>
                </c:pt>
                <c:pt idx="2">
                  <c:v>Non-controlling Interest</c:v>
                </c:pt>
                <c:pt idx="3">
                  <c:v>Total Shareholders' Equity</c:v>
                </c:pt>
              </c:strCache>
            </c:strRef>
          </c:cat>
          <c:val>
            <c:numRef>
              <c:f>'Dashboards Engine'!$C$26:$C$29</c:f>
              <c:numCache>
                <c:formatCode>0.00%</c:formatCode>
                <c:ptCount val="4"/>
                <c:pt idx="0">
                  <c:v>0.32892872999429162</c:v>
                </c:pt>
                <c:pt idx="1">
                  <c:v>0.32623522696040086</c:v>
                </c:pt>
                <c:pt idx="2">
                  <c:v>2.9104209391319056E-2</c:v>
                </c:pt>
                <c:pt idx="3">
                  <c:v>0.31573183365398844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CF-4658-9886-48CE9C6080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7556769915865"/>
          <c:y val="2.9571056687948512E-2"/>
          <c:w val="0.68924472671834225"/>
          <c:h val="0.908280615569066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'Dashboards Engine'!$B$94</c:f>
              <c:strCache>
                <c:ptCount val="1"/>
                <c:pt idx="0">
                  <c:v>Receivables, net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'Dashboards Engine'!$C$93:$G$93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'Dashboards Engine'!$C$94:$G$94</c:f>
              <c:numCache>
                <c:formatCode>#,##0_);[Red]\(#,##0\)</c:formatCode>
                <c:ptCount val="5"/>
                <c:pt idx="0">
                  <c:v>154</c:v>
                </c:pt>
                <c:pt idx="1">
                  <c:v>-1086</c:v>
                </c:pt>
                <c:pt idx="2">
                  <c:v>-1796</c:v>
                </c:pt>
                <c:pt idx="3">
                  <c:v>240</c:v>
                </c:pt>
                <c:pt idx="4">
                  <c:v>-797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3-43BD-B56B-717717DE849C}"/>
            </c:ext>
          </c:extLst>
        </c:ser>
        <c:ser>
          <c:idx val="1"/>
          <c:order val="1"/>
          <c:tx>
            <c:strRef>
              <c:f>'Dashboards Engine'!$B$95</c:f>
              <c:strCache>
                <c:ptCount val="1"/>
                <c:pt idx="0">
                  <c:v>Inventories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'Dashboards Engine'!$C$93:$G$93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'Dashboards Engine'!$C$95:$G$95</c:f>
              <c:numCache>
                <c:formatCode>#,##0_);[Red]\(#,##0\)</c:formatCode>
                <c:ptCount val="5"/>
                <c:pt idx="0">
                  <c:v>-300</c:v>
                </c:pt>
                <c:pt idx="1">
                  <c:v>-2395</c:v>
                </c:pt>
                <c:pt idx="2">
                  <c:v>-11764</c:v>
                </c:pt>
                <c:pt idx="3">
                  <c:v>-528</c:v>
                </c:pt>
                <c:pt idx="4">
                  <c:v>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3-43BD-B56B-717717DE849C}"/>
            </c:ext>
          </c:extLst>
        </c:ser>
        <c:ser>
          <c:idx val="2"/>
          <c:order val="2"/>
          <c:tx>
            <c:strRef>
              <c:f>'Dashboards Engine'!$B$96</c:f>
              <c:strCache>
                <c:ptCount val="1"/>
                <c:pt idx="0">
                  <c:v>Accounts payable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'Dashboards Engine'!$C$93:$G$93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'Dashboards Engine'!$C$96:$G$96</c:f>
              <c:numCache>
                <c:formatCode>#,##0_);[Red]\(#,##0\)</c:formatCode>
                <c:ptCount val="5"/>
                <c:pt idx="0">
                  <c:v>-274</c:v>
                </c:pt>
                <c:pt idx="1">
                  <c:v>6966</c:v>
                </c:pt>
                <c:pt idx="2">
                  <c:v>5520</c:v>
                </c:pt>
                <c:pt idx="3">
                  <c:v>-1425</c:v>
                </c:pt>
                <c:pt idx="4">
                  <c:v>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03-43BD-B56B-717717DE849C}"/>
            </c:ext>
          </c:extLst>
        </c:ser>
        <c:ser>
          <c:idx val="3"/>
          <c:order val="3"/>
          <c:tx>
            <c:strRef>
              <c:f>'Dashboards Engine'!$B$97</c:f>
              <c:strCache>
                <c:ptCount val="1"/>
                <c:pt idx="0">
                  <c:v>Accrued liabilities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'Dashboards Engine'!$C$93:$G$93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'Dashboards Engine'!$C$97:$G$97</c:f>
              <c:numCache>
                <c:formatCode>#,##0_);[Red]\(#,##0\)</c:formatCode>
                <c:ptCount val="5"/>
                <c:pt idx="0">
                  <c:v>186</c:v>
                </c:pt>
                <c:pt idx="1">
                  <c:v>4623</c:v>
                </c:pt>
                <c:pt idx="2">
                  <c:v>1404</c:v>
                </c:pt>
                <c:pt idx="3">
                  <c:v>4393</c:v>
                </c:pt>
                <c:pt idx="4">
                  <c:v>-1324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03-43BD-B56B-717717DE849C}"/>
            </c:ext>
          </c:extLst>
        </c:ser>
        <c:ser>
          <c:idx val="4"/>
          <c:order val="4"/>
          <c:tx>
            <c:strRef>
              <c:f>'Dashboards Engine'!$B$98</c:f>
              <c:strCache>
                <c:ptCount val="1"/>
                <c:pt idx="0">
                  <c:v>Accrued income taxes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'Dashboards Engine'!$C$93:$G$93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'Dashboards Engine'!$C$98:$G$98</c:f>
              <c:numCache>
                <c:formatCode>#,##0_);[Red]\(#,##0\)</c:formatCode>
                <c:ptCount val="5"/>
                <c:pt idx="0">
                  <c:v>-93</c:v>
                </c:pt>
                <c:pt idx="1">
                  <c:v>-136</c:v>
                </c:pt>
                <c:pt idx="2">
                  <c:v>39</c:v>
                </c:pt>
                <c:pt idx="3">
                  <c:v>-127</c:v>
                </c:pt>
                <c:pt idx="4">
                  <c:v>-468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03-43BD-B56B-717717DE8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7553936"/>
        <c:axId val="1497533296"/>
      </c:barChart>
      <c:catAx>
        <c:axId val="149755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497533296"/>
        <c:crosses val="autoZero"/>
        <c:auto val="1"/>
        <c:lblAlgn val="ctr"/>
        <c:lblOffset val="100"/>
        <c:noMultiLvlLbl val="0"/>
      </c:catAx>
      <c:valAx>
        <c:axId val="1497533296"/>
        <c:scaling>
          <c:orientation val="minMax"/>
          <c:max val="9000"/>
          <c:min val="-1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55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'Dashboards Engine'!$B$86</c:f>
              <c:strCache>
                <c:ptCount val="1"/>
                <c:pt idx="0">
                  <c:v>Cash from Operating Activities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'Dashboards Engine'!$C$85:$G$85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'Dashboards Engine'!$C$86:$G$86</c:f>
              <c:numCache>
                <c:formatCode>#,##0_);[Red]\(#,##0\)</c:formatCode>
                <c:ptCount val="5"/>
                <c:pt idx="0">
                  <c:v>25258</c:v>
                </c:pt>
                <c:pt idx="1">
                  <c:v>36072</c:v>
                </c:pt>
                <c:pt idx="2">
                  <c:v>24183</c:v>
                </c:pt>
                <c:pt idx="3">
                  <c:v>28846</c:v>
                </c:pt>
                <c:pt idx="4">
                  <c:v>35723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3-4F1D-A19D-8958D8AD04F6}"/>
            </c:ext>
          </c:extLst>
        </c:ser>
        <c:ser>
          <c:idx val="1"/>
          <c:order val="1"/>
          <c:tx>
            <c:strRef>
              <c:f>'Dashboards Engine'!$B$87</c:f>
              <c:strCache>
                <c:ptCount val="1"/>
                <c:pt idx="0">
                  <c:v>Cash from Investing Activities</c:v>
                </c:pt>
              </c:strCache>
            </c:strRef>
          </c:tx>
          <c:spPr>
            <a:solidFill>
              <a:srgbClr val="FF6D6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'Dashboards Engine'!$C$85:$G$85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'Dashboards Engine'!$C$87:$G$87</c:f>
              <c:numCache>
                <c:formatCode>#,##0_);[Red]\(#,##0\)</c:formatCode>
                <c:ptCount val="5"/>
                <c:pt idx="0">
                  <c:v>-9128</c:v>
                </c:pt>
                <c:pt idx="1">
                  <c:v>-10071</c:v>
                </c:pt>
                <c:pt idx="2">
                  <c:v>-6015</c:v>
                </c:pt>
                <c:pt idx="3">
                  <c:v>-17722</c:v>
                </c:pt>
                <c:pt idx="4">
                  <c:v>-21287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3-4F1D-A19D-8958D8AD04F6}"/>
            </c:ext>
          </c:extLst>
        </c:ser>
        <c:ser>
          <c:idx val="2"/>
          <c:order val="2"/>
          <c:tx>
            <c:strRef>
              <c:f>'Dashboards Engine'!$B$88</c:f>
              <c:strCache>
                <c:ptCount val="1"/>
                <c:pt idx="0">
                  <c:v>Cash from Financial Activities</c:v>
                </c:pt>
              </c:strCache>
            </c:strRef>
          </c:tx>
          <c:spPr>
            <a:solidFill>
              <a:srgbClr val="7A0000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1.122108692572553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1A-49A6-BAB3-C6044E8EA2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'Dashboards Engine'!$C$85:$G$85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'Dashboards Engine'!$C$88:$G$88</c:f>
              <c:numCache>
                <c:formatCode>#,##0_);[Red]\(#,##0\)</c:formatCode>
                <c:ptCount val="5"/>
                <c:pt idx="0">
                  <c:v>-14299</c:v>
                </c:pt>
                <c:pt idx="1">
                  <c:v>-16117</c:v>
                </c:pt>
                <c:pt idx="2">
                  <c:v>-22828</c:v>
                </c:pt>
                <c:pt idx="3">
                  <c:v>-17039</c:v>
                </c:pt>
                <c:pt idx="4">
                  <c:v>-13414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A3-4F1D-A19D-8958D8AD04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37"/>
        <c:overlap val="-58"/>
        <c:axId val="1497564016"/>
        <c:axId val="1497564496"/>
      </c:barChart>
      <c:catAx>
        <c:axId val="149756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497564496"/>
        <c:crosses val="autoZero"/>
        <c:auto val="1"/>
        <c:lblAlgn val="ctr"/>
        <c:lblOffset val="100"/>
        <c:noMultiLvlLbl val="0"/>
      </c:catAx>
      <c:valAx>
        <c:axId val="1497564496"/>
        <c:scaling>
          <c:orientation val="minMax"/>
        </c:scaling>
        <c:delete val="0"/>
        <c:axPos val="l"/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49756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3788AD02-E392-4737-9C26-A669B093FC43}">
          <cx:dataPt idx="0">
            <cx:spPr>
              <a:solidFill>
                <a:srgbClr val="297FD5">
                  <a:lumMod val="50000"/>
                </a:srgbClr>
              </a:solidFill>
            </cx:spPr>
          </cx:dataPt>
          <cx:dataPt idx="1">
            <cx:spPr>
              <a:solidFill>
                <a:srgbClr val="7A0000"/>
              </a:solidFill>
            </cx:spPr>
          </cx:dataPt>
          <cx:dataPt idx="2">
            <cx:spPr>
              <a:solidFill>
                <a:srgbClr val="297FD5">
                  <a:lumMod val="50000"/>
                </a:srgbClr>
              </a:solidFill>
            </cx:spPr>
          </cx:dataPt>
          <cx:dataPt idx="3">
            <cx:spPr>
              <a:solidFill>
                <a:srgbClr val="7A0000"/>
              </a:solidFill>
            </cx:spPr>
          </cx:dataPt>
          <cx:dataPt idx="4">
            <cx:spPr>
              <a:solidFill>
                <a:srgbClr val="297FD5">
                  <a:lumMod val="50000"/>
                </a:srgbClr>
              </a:solidFill>
            </cx:spPr>
          </cx:dataPt>
          <cx:dataPt idx="5">
            <cx:spPr>
              <a:solidFill>
                <a:srgbClr val="7A0000"/>
              </a:solidFill>
            </cx:spPr>
          </cx:dataPt>
          <cx:dataPt idx="6">
            <cx:spPr>
              <a:solidFill>
                <a:srgbClr val="297FD5">
                  <a:lumMod val="50000"/>
                </a:srgbClr>
              </a:solidFill>
            </cx:spPr>
          </cx:dataPt>
          <cx:dataPt idx="7">
            <cx:spPr>
              <a:solidFill>
                <a:srgbClr val="7A0000"/>
              </a:solidFill>
              <a:ln>
                <a:solidFill>
                  <a:srgbClr val="7EB2E6"/>
                </a:solidFill>
              </a:ln>
            </cx:spPr>
          </cx:dataPt>
          <cx:dataPt idx="8">
            <cx:spPr>
              <a:solidFill>
                <a:srgbClr val="297FD5">
                  <a:lumMod val="50000"/>
                </a:srgbClr>
              </a:solidFill>
            </cx:spPr>
          </cx:dataPt>
          <cx:dataPt idx="9">
            <cx:spPr>
              <a:solidFill>
                <a:srgbClr val="7A0000"/>
              </a:solidFill>
            </cx:spPr>
          </cx:dataPt>
          <cx:dataPt idx="10">
            <cx:spPr>
              <a:solidFill>
                <a:srgbClr val="297FD5">
                  <a:lumMod val="50000"/>
                </a:srgbClr>
              </a:solidFill>
            </cx:spPr>
          </cx:dataPt>
          <cx:dataPt idx="12">
            <cx:spPr>
              <a:solidFill>
                <a:srgbClr val="297FD5">
                  <a:lumMod val="50000"/>
                </a:srgbClr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x:txPr>
            <cx:dataLabel idx="5" pos="inEnd">
              <cx:visibility seriesName="0" categoryName="0" value="1"/>
              <cx:separator>, </cx:separator>
            </cx:dataLabel>
            <cx:dataLabel idx="9" pos="inEnd">
              <cx:visibility seriesName="0" categoryName="0" value="1"/>
              <cx:separator>, </cx:separator>
            </cx:dataLabel>
            <cx:dataLabel idx="11" pos="inEnd">
              <cx:visibility seriesName="0" categoryName="0" value="1"/>
              <cx:separator>, </cx:separator>
            </cx:dataLabel>
          </cx:dataLabels>
          <cx:dataId val="0"/>
          <cx:layoutPr>
            <cx:visibility connectorLines="1"/>
            <cx:subtotals>
              <cx:idx val="2"/>
              <cx:idx val="4"/>
              <cx:idx val="6"/>
              <cx:idx val="8"/>
              <cx:idx val="10"/>
              <cx:idx val="12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waterfall" uniqueId="{1739B6E3-5D50-47CB-8D1A-33D7B5D410A0}">
          <cx:dataPt idx="0">
            <cx:spPr>
              <a:solidFill>
                <a:srgbClr val="297FD5">
                  <a:lumMod val="40000"/>
                  <a:lumOff val="60000"/>
                </a:srgbClr>
              </a:solidFill>
            </cx:spPr>
          </cx:dataPt>
          <cx:dataPt idx="1">
            <cx:spPr>
              <a:solidFill>
                <a:srgbClr val="297FD5">
                  <a:lumMod val="50000"/>
                </a:srgbClr>
              </a:solidFill>
            </cx:spPr>
          </cx:dataPt>
          <cx:dataPt idx="2">
            <cx:spPr>
              <a:solidFill>
                <a:srgbClr val="7A0000"/>
              </a:solidFill>
            </cx:spPr>
          </cx:dataPt>
          <cx:dataPt idx="3">
            <cx:spPr>
              <a:solidFill>
                <a:srgbClr val="FF6D6D"/>
              </a:solidFill>
            </cx:spPr>
          </cx:dataPt>
          <cx:dataPt idx="4">
            <cx:spPr>
              <a:solidFill>
                <a:srgbClr val="629DD1">
                  <a:lumMod val="75000"/>
                </a:srgbClr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x:txPr>
            <cx:visibility seriesName="0" categoryName="0" value="1"/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rgbClr val="C00000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rgbClr val="C00000"/>
                      </a:solidFill>
                      <a:latin typeface="Calibri" panose="020F0502020204030204" pitchFamily="34" charset="0"/>
                      <a:ea typeface="Calibri" panose="020F0502020204030204" pitchFamily="34" charset="0"/>
                      <a:cs typeface="Calibri" panose="020F0502020204030204" pitchFamily="34" charset="0"/>
                    </a:rPr>
                    <a:t>(9,128)</a:t>
                  </a:r>
                </a:p>
              </cx:txPr>
            </cx:dataLabel>
            <cx:dataLabel idx="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rgbClr val="C00000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rgbClr val="C00000"/>
                      </a:solidFill>
                      <a:latin typeface="Calibri" panose="020F0502020204030204" pitchFamily="34" charset="0"/>
                      <a:ea typeface="Calibri" panose="020F0502020204030204" pitchFamily="34" charset="0"/>
                      <a:cs typeface="Calibri" panose="020F0502020204030204" pitchFamily="34" charset="0"/>
                    </a:rPr>
                    <a:t>(14,299)</a:t>
                  </a:r>
                </a:p>
              </cx:txPr>
            </cx:dataLabel>
          </cx:dataLabels>
          <cx:dataId val="0"/>
          <cx:layoutPr>
            <cx:visibility connectorLines="1"/>
            <cx:subtotals>
              <cx:idx val="4"/>
            </cx:subtotals>
          </cx:layoutPr>
        </cx:series>
      </cx:plotAreaRegion>
      <cx:axis id="0">
        <cx:catScaling gapWidth="1.4099999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800" b="0" i="0" u="none" strike="noStrike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checked="Checked" firstButton="1" fmlaLink="'Dashboards Engine'!$F$7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checked="Checked" firstButton="1" fmlaLink="'Dashboards Engine'!$F$7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checked="Checked" firstButton="1" fmlaLink="'Dashboards Engine'!$F$7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74707</xdr:colOff>
      <xdr:row>11</xdr:row>
      <xdr:rowOff>84800</xdr:rowOff>
    </xdr:from>
    <xdr:to>
      <xdr:col>28</xdr:col>
      <xdr:colOff>30257</xdr:colOff>
      <xdr:row>26</xdr:row>
      <xdr:rowOff>28202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1303F9-808B-4E35-A9ED-34B22024E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392057</xdr:colOff>
      <xdr:row>5</xdr:row>
      <xdr:rowOff>124062</xdr:rowOff>
    </xdr:from>
    <xdr:to>
      <xdr:col>31</xdr:col>
      <xdr:colOff>82557</xdr:colOff>
      <xdr:row>23</xdr:row>
      <xdr:rowOff>86473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957840-FA09-4339-AC91-05B553C44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225426</xdr:colOff>
      <xdr:row>4</xdr:row>
      <xdr:rowOff>85725</xdr:rowOff>
    </xdr:from>
    <xdr:to>
      <xdr:col>28</xdr:col>
      <xdr:colOff>466725</xdr:colOff>
      <xdr:row>5</xdr:row>
      <xdr:rowOff>168275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187CA93-46B7-EF9C-423A-7885C6B761A0}"/>
            </a:ext>
          </a:extLst>
        </xdr:cNvPr>
        <xdr:cNvSpPr txBox="1"/>
      </xdr:nvSpPr>
      <xdr:spPr>
        <a:xfrm>
          <a:off x="8836026" y="1181100"/>
          <a:ext cx="4470399" cy="263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chemeClr val="accent3">
                  <a:lumMod val="50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Breakdown of Current and</a:t>
          </a:r>
          <a:r>
            <a:rPr lang="en-US" sz="1200" b="0" baseline="0">
              <a:solidFill>
                <a:schemeClr val="accent3">
                  <a:lumMod val="50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Non-Current Assets as % of Total Assets</a:t>
          </a:r>
          <a:endParaRPr lang="en-US" sz="1200" b="0">
            <a:solidFill>
              <a:schemeClr val="accent3">
                <a:lumMod val="50000"/>
              </a:schemeClr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 editAs="oneCell">
    <xdr:from>
      <xdr:col>21</xdr:col>
      <xdr:colOff>238125</xdr:colOff>
      <xdr:row>26</xdr:row>
      <xdr:rowOff>140273</xdr:rowOff>
    </xdr:from>
    <xdr:to>
      <xdr:col>30</xdr:col>
      <xdr:colOff>64061</xdr:colOff>
      <xdr:row>42</xdr:row>
      <xdr:rowOff>126447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861A0EFD-7E61-BC90-23B5-173BFD56820E}"/>
            </a:ext>
          </a:extLst>
        </xdr:cNvPr>
        <xdr:cNvGrpSpPr/>
      </xdr:nvGrpSpPr>
      <xdr:grpSpPr>
        <a:xfrm>
          <a:off x="9026525" y="5220273"/>
          <a:ext cx="5280586" cy="2875424"/>
          <a:chOff x="8848725" y="5234024"/>
          <a:chExt cx="5277411" cy="2880714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EA5D5A24-0D7F-4325-8E2C-416AEB41ABD3}"/>
              </a:ext>
            </a:extLst>
          </xdr:cNvPr>
          <xdr:cNvGraphicFramePr>
            <a:graphicFrameLocks/>
          </xdr:cNvGraphicFramePr>
        </xdr:nvGraphicFramePr>
        <xdr:xfrm>
          <a:off x="9629774" y="5378450"/>
          <a:ext cx="4496362" cy="27362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FBE273DE-CDE1-4119-A5C1-11AB255BAE7B}"/>
              </a:ext>
            </a:extLst>
          </xdr:cNvPr>
          <xdr:cNvSpPr txBox="1"/>
        </xdr:nvSpPr>
        <xdr:spPr>
          <a:xfrm>
            <a:off x="8848725" y="5234024"/>
            <a:ext cx="360997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0">
                <a:solidFill>
                  <a:schemeClr val="accent3">
                    <a:lumMod val="50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Breakdown of Liabilities and Stakeholders'</a:t>
            </a:r>
            <a:r>
              <a:rPr lang="en-US" sz="1200" b="0" baseline="0">
                <a:solidFill>
                  <a:schemeClr val="accent3">
                    <a:lumMod val="50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Equity</a:t>
            </a:r>
            <a:endParaRPr lang="en-US" sz="1200" b="0">
              <a:solidFill>
                <a:schemeClr val="accent3">
                  <a:lumMod val="50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xdr:txBody>
      </xdr:sp>
    </xdr:grpSp>
    <xdr:clientData/>
  </xdr:twoCellAnchor>
  <xdr:twoCellAnchor editAs="oneCell">
    <xdr:from>
      <xdr:col>32</xdr:col>
      <xdr:colOff>273050</xdr:colOff>
      <xdr:row>23</xdr:row>
      <xdr:rowOff>28575</xdr:rowOff>
    </xdr:from>
    <xdr:to>
      <xdr:col>35</xdr:col>
      <xdr:colOff>53975</xdr:colOff>
      <xdr:row>27</xdr:row>
      <xdr:rowOff>57149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3D680C6D-88E1-40DE-BCF1-309CBF8A196A}"/>
            </a:ext>
          </a:extLst>
        </xdr:cNvPr>
        <xdr:cNvGrpSpPr/>
      </xdr:nvGrpSpPr>
      <xdr:grpSpPr>
        <a:xfrm>
          <a:off x="15735300" y="4559300"/>
          <a:ext cx="1606550" cy="755649"/>
          <a:chOff x="7239000" y="3743325"/>
          <a:chExt cx="1854479" cy="865848"/>
        </a:xfrm>
      </xdr:grpSpPr>
      <xdr:sp macro="" textlink="'Dashboards Engine'!$C$34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0FB1A0D7-5F74-D3C8-CB61-DF14060D0D65}"/>
              </a:ext>
            </a:extLst>
          </xdr:cNvPr>
          <xdr:cNvSpPr/>
        </xdr:nvSpPr>
        <xdr:spPr>
          <a:xfrm>
            <a:off x="7239000" y="3743325"/>
            <a:ext cx="1854479" cy="865848"/>
          </a:xfrm>
          <a:prstGeom prst="roundRect">
            <a:avLst/>
          </a:prstGeom>
          <a:solidFill>
            <a:schemeClr val="bg1"/>
          </a:solidFill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DF5B0BBE-4D15-40A8-B118-8DAFBFEEAC1E}" type="TxLink">
              <a:rPr lang="en-US" sz="2000" b="1" i="0" u="none" strike="noStrike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pPr algn="ctr"/>
              <a:t>0.79</a:t>
            </a:fld>
            <a:endParaRPr lang="en-US" sz="20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7D85FBAE-D3A1-BFFE-CFF4-EB23737F6545}"/>
              </a:ext>
            </a:extLst>
          </xdr:cNvPr>
          <xdr:cNvSpPr txBox="1"/>
        </xdr:nvSpPr>
        <xdr:spPr>
          <a:xfrm>
            <a:off x="7324725" y="3851977"/>
            <a:ext cx="1704974" cy="4000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>
                <a:solidFill>
                  <a:schemeClr val="tx1">
                    <a:lumMod val="50000"/>
                    <a:lumOff val="50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Current Ratio</a:t>
            </a:r>
          </a:p>
        </xdr:txBody>
      </xdr:sp>
    </xdr:grpSp>
    <xdr:clientData/>
  </xdr:twoCellAnchor>
  <xdr:twoCellAnchor editAs="oneCell">
    <xdr:from>
      <xdr:col>32</xdr:col>
      <xdr:colOff>273050</xdr:colOff>
      <xdr:row>17</xdr:row>
      <xdr:rowOff>133350</xdr:rowOff>
    </xdr:from>
    <xdr:to>
      <xdr:col>35</xdr:col>
      <xdr:colOff>53975</xdr:colOff>
      <xdr:row>21</xdr:row>
      <xdr:rowOff>165099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218BC475-581C-4C41-96C2-2DE5737F4DCD}"/>
            </a:ext>
          </a:extLst>
        </xdr:cNvPr>
        <xdr:cNvGrpSpPr/>
      </xdr:nvGrpSpPr>
      <xdr:grpSpPr>
        <a:xfrm>
          <a:off x="15735300" y="3581400"/>
          <a:ext cx="1606550" cy="752474"/>
          <a:chOff x="7239000" y="3743325"/>
          <a:chExt cx="1854479" cy="865848"/>
        </a:xfrm>
      </xdr:grpSpPr>
      <xdr:sp macro="" textlink="'Dashboards Engine'!$C$35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F0EBCB4F-5BB1-E6BC-1379-7ABA1558E94C}"/>
              </a:ext>
            </a:extLst>
          </xdr:cNvPr>
          <xdr:cNvSpPr/>
        </xdr:nvSpPr>
        <xdr:spPr>
          <a:xfrm>
            <a:off x="7239000" y="3743325"/>
            <a:ext cx="1854479" cy="865848"/>
          </a:xfrm>
          <a:prstGeom prst="roundRect">
            <a:avLst/>
          </a:prstGeom>
          <a:solidFill>
            <a:schemeClr val="bg1"/>
          </a:solidFill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A526D4A8-2548-4631-9B66-CF13977B95DB}" type="TxLink">
              <a:rPr lang="en-US" sz="2000" b="1" i="0" u="none" strike="noStrike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pPr algn="ctr"/>
              <a:t>0.20</a:t>
            </a:fld>
            <a:endParaRPr lang="en-US" sz="20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4321E3F9-6116-0D42-23A3-51C8A4118A79}"/>
              </a:ext>
            </a:extLst>
          </xdr:cNvPr>
          <xdr:cNvSpPr txBox="1"/>
        </xdr:nvSpPr>
        <xdr:spPr>
          <a:xfrm>
            <a:off x="7324725" y="3851977"/>
            <a:ext cx="1704976" cy="4000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>
                <a:solidFill>
                  <a:schemeClr val="tx1">
                    <a:lumMod val="50000"/>
                    <a:lumOff val="50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Quick Ratio</a:t>
            </a:r>
          </a:p>
        </xdr:txBody>
      </xdr:sp>
    </xdr:grpSp>
    <xdr:clientData/>
  </xdr:twoCellAnchor>
  <xdr:twoCellAnchor editAs="oneCell">
    <xdr:from>
      <xdr:col>32</xdr:col>
      <xdr:colOff>273050</xdr:colOff>
      <xdr:row>30</xdr:row>
      <xdr:rowOff>171450</xdr:rowOff>
    </xdr:from>
    <xdr:to>
      <xdr:col>35</xdr:col>
      <xdr:colOff>53975</xdr:colOff>
      <xdr:row>35</xdr:row>
      <xdr:rowOff>19049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C77CFFA2-EC7D-460D-9C5B-529DFC954396}"/>
            </a:ext>
          </a:extLst>
        </xdr:cNvPr>
        <xdr:cNvGrpSpPr/>
      </xdr:nvGrpSpPr>
      <xdr:grpSpPr>
        <a:xfrm>
          <a:off x="15735300" y="5972175"/>
          <a:ext cx="1606550" cy="752474"/>
          <a:chOff x="7239000" y="3743325"/>
          <a:chExt cx="1854479" cy="865848"/>
        </a:xfrm>
      </xdr:grpSpPr>
      <xdr:sp macro="" textlink="'Dashboards Engine'!$C$36">
        <xdr:nvSpPr>
          <xdr:cNvPr id="15" name="Rectangle: Rounded Corners 14">
            <a:extLst>
              <a:ext uri="{FF2B5EF4-FFF2-40B4-BE49-F238E27FC236}">
                <a16:creationId xmlns:a16="http://schemas.microsoft.com/office/drawing/2014/main" id="{C0B2246C-83D6-43A7-718B-25C4263DBFE8}"/>
              </a:ext>
            </a:extLst>
          </xdr:cNvPr>
          <xdr:cNvSpPr/>
        </xdr:nvSpPr>
        <xdr:spPr>
          <a:xfrm>
            <a:off x="7239000" y="3743325"/>
            <a:ext cx="1854479" cy="865848"/>
          </a:xfrm>
          <a:prstGeom prst="roundRect">
            <a:avLst/>
          </a:prstGeom>
          <a:solidFill>
            <a:schemeClr val="bg1"/>
          </a:solidFill>
          <a:ln w="19050">
            <a:solidFill>
              <a:srgbClr val="7A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EC53ADC7-D920-4146-912F-67EA6273B389}" type="TxLink">
              <a:rPr lang="en-US" sz="2000" b="1" i="0" u="none" strike="noStrike">
                <a:solidFill>
                  <a:srgbClr val="7A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pPr algn="ctr"/>
              <a:t>2.08 </a:t>
            </a:fld>
            <a:endParaRPr lang="en-US" sz="2000" b="1">
              <a:solidFill>
                <a:srgbClr val="7A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3273E4EA-AD4B-756F-B5CE-A5B98F0CAE35}"/>
              </a:ext>
            </a:extLst>
          </xdr:cNvPr>
          <xdr:cNvSpPr txBox="1"/>
        </xdr:nvSpPr>
        <xdr:spPr>
          <a:xfrm>
            <a:off x="7324725" y="3852160"/>
            <a:ext cx="1704976" cy="4000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>
                <a:solidFill>
                  <a:srgbClr val="7A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Debt-to-Equity Ratio</a:t>
            </a:r>
          </a:p>
        </xdr:txBody>
      </xdr:sp>
    </xdr:grpSp>
    <xdr:clientData/>
  </xdr:twoCellAnchor>
  <xdr:twoCellAnchor editAs="oneCell">
    <xdr:from>
      <xdr:col>32</xdr:col>
      <xdr:colOff>273050</xdr:colOff>
      <xdr:row>36</xdr:row>
      <xdr:rowOff>130175</xdr:rowOff>
    </xdr:from>
    <xdr:to>
      <xdr:col>35</xdr:col>
      <xdr:colOff>53975</xdr:colOff>
      <xdr:row>40</xdr:row>
      <xdr:rowOff>165099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1F38A15-3A31-4FA5-A1E3-83C57DF48989}"/>
            </a:ext>
          </a:extLst>
        </xdr:cNvPr>
        <xdr:cNvGrpSpPr/>
      </xdr:nvGrpSpPr>
      <xdr:grpSpPr>
        <a:xfrm>
          <a:off x="15735300" y="7016750"/>
          <a:ext cx="1606550" cy="755649"/>
          <a:chOff x="7239000" y="3743325"/>
          <a:chExt cx="1854479" cy="865848"/>
        </a:xfrm>
      </xdr:grpSpPr>
      <xdr:sp macro="" textlink="'Dashboards Engine'!$C$37">
        <xdr:nvSpPr>
          <xdr:cNvPr id="18" name="Rectangle: Rounded Corners 17">
            <a:extLst>
              <a:ext uri="{FF2B5EF4-FFF2-40B4-BE49-F238E27FC236}">
                <a16:creationId xmlns:a16="http://schemas.microsoft.com/office/drawing/2014/main" id="{7ED258C2-567E-9E70-EF1F-E7E42F0DA822}"/>
              </a:ext>
            </a:extLst>
          </xdr:cNvPr>
          <xdr:cNvSpPr/>
        </xdr:nvSpPr>
        <xdr:spPr>
          <a:xfrm>
            <a:off x="7239000" y="3743325"/>
            <a:ext cx="1854479" cy="865848"/>
          </a:xfrm>
          <a:prstGeom prst="roundRect">
            <a:avLst/>
          </a:prstGeom>
          <a:solidFill>
            <a:schemeClr val="bg1"/>
          </a:solidFill>
          <a:ln w="19050">
            <a:solidFill>
              <a:srgbClr val="7A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AFAD5B3F-0D87-4C7F-AD40-03F48E0126D9}" type="TxLink">
              <a:rPr lang="en-US" sz="2000" b="1" i="0" u="none" strike="noStrike">
                <a:solidFill>
                  <a:srgbClr val="7A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pPr algn="ctr"/>
              <a:t>0.66 </a:t>
            </a:fld>
            <a:endParaRPr lang="en-US" sz="2000" b="1">
              <a:solidFill>
                <a:srgbClr val="7A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DD2C50F7-17B3-BD6E-6225-07D82EAEC462}"/>
              </a:ext>
            </a:extLst>
          </xdr:cNvPr>
          <xdr:cNvSpPr txBox="1"/>
        </xdr:nvSpPr>
        <xdr:spPr>
          <a:xfrm>
            <a:off x="7324725" y="3852251"/>
            <a:ext cx="1704974" cy="400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>
                <a:solidFill>
                  <a:srgbClr val="7A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Debt Ratio</a:t>
            </a:r>
          </a:p>
        </xdr:txBody>
      </xdr:sp>
    </xdr:grpSp>
    <xdr:clientData/>
  </xdr:twoCellAnchor>
  <xdr:twoCellAnchor editAs="oneCell">
    <xdr:from>
      <xdr:col>32</xdr:col>
      <xdr:colOff>273050</xdr:colOff>
      <xdr:row>4</xdr:row>
      <xdr:rowOff>161925</xdr:rowOff>
    </xdr:from>
    <xdr:to>
      <xdr:col>35</xdr:col>
      <xdr:colOff>53975</xdr:colOff>
      <xdr:row>9</xdr:row>
      <xdr:rowOff>9524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A932D3A8-991B-4D1E-9A71-B845751902BB}"/>
            </a:ext>
          </a:extLst>
        </xdr:cNvPr>
        <xdr:cNvGrpSpPr/>
      </xdr:nvGrpSpPr>
      <xdr:grpSpPr>
        <a:xfrm>
          <a:off x="15735300" y="1244600"/>
          <a:ext cx="1606550" cy="758824"/>
          <a:chOff x="7239000" y="3743325"/>
          <a:chExt cx="1854479" cy="865848"/>
        </a:xfrm>
      </xdr:grpSpPr>
      <xdr:sp macro="" textlink="'Dashboards Engine'!$C$38">
        <xdr:nvSpPr>
          <xdr:cNvPr id="21" name="Rectangle: Rounded Corners 20">
            <a:extLst>
              <a:ext uri="{FF2B5EF4-FFF2-40B4-BE49-F238E27FC236}">
                <a16:creationId xmlns:a16="http://schemas.microsoft.com/office/drawing/2014/main" id="{4266F08D-1E1C-C45F-FDC9-CC77C8683199}"/>
              </a:ext>
            </a:extLst>
          </xdr:cNvPr>
          <xdr:cNvSpPr/>
        </xdr:nvSpPr>
        <xdr:spPr>
          <a:xfrm>
            <a:off x="7239000" y="3743325"/>
            <a:ext cx="1854479" cy="865848"/>
          </a:xfrm>
          <a:prstGeom prst="roundRect">
            <a:avLst/>
          </a:prstGeom>
          <a:solidFill>
            <a:schemeClr val="bg1"/>
          </a:solidFill>
          <a:ln w="19050"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03A6438D-14E8-4F46-B789-5240E13BA111}" type="TxLink">
              <a:rPr lang="en-US" sz="2000" b="1" i="0" u="none" strike="noStrike">
                <a:solidFill>
                  <a:schemeClr val="accent3">
                    <a:lumMod val="50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pPr algn="ctr"/>
              <a:t>21.16%</a:t>
            </a:fld>
            <a:endParaRPr lang="en-US" sz="2000" b="1">
              <a:solidFill>
                <a:schemeClr val="accent3">
                  <a:lumMod val="50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0219CAA1-8606-2700-0D42-13FE341C5256}"/>
              </a:ext>
            </a:extLst>
          </xdr:cNvPr>
          <xdr:cNvSpPr txBox="1"/>
        </xdr:nvSpPr>
        <xdr:spPr>
          <a:xfrm>
            <a:off x="7324725" y="3851976"/>
            <a:ext cx="1704974" cy="4000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>
                <a:solidFill>
                  <a:schemeClr val="accent3">
                    <a:lumMod val="50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Return on Equity</a:t>
            </a:r>
          </a:p>
        </xdr:txBody>
      </xdr:sp>
    </xdr:grpSp>
    <xdr:clientData/>
  </xdr:twoCellAnchor>
  <xdr:twoCellAnchor editAs="oneCell">
    <xdr:from>
      <xdr:col>32</xdr:col>
      <xdr:colOff>273050</xdr:colOff>
      <xdr:row>10</xdr:row>
      <xdr:rowOff>85725</xdr:rowOff>
    </xdr:from>
    <xdr:to>
      <xdr:col>35</xdr:col>
      <xdr:colOff>57150</xdr:colOff>
      <xdr:row>14</xdr:row>
      <xdr:rowOff>104774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EEC40BA2-CA74-41E1-ACFB-BE252A4235D6}"/>
            </a:ext>
          </a:extLst>
        </xdr:cNvPr>
        <xdr:cNvGrpSpPr/>
      </xdr:nvGrpSpPr>
      <xdr:grpSpPr>
        <a:xfrm>
          <a:off x="15735300" y="2254250"/>
          <a:ext cx="1609725" cy="749299"/>
          <a:chOff x="7239000" y="3743325"/>
          <a:chExt cx="1854479" cy="865848"/>
        </a:xfrm>
      </xdr:grpSpPr>
      <xdr:sp macro="" textlink="'Dashboards Engine'!$C$39">
        <xdr:nvSpPr>
          <xdr:cNvPr id="24" name="Rectangle: Rounded Corners 23">
            <a:extLst>
              <a:ext uri="{FF2B5EF4-FFF2-40B4-BE49-F238E27FC236}">
                <a16:creationId xmlns:a16="http://schemas.microsoft.com/office/drawing/2014/main" id="{523945BA-834C-5F3D-AA7A-C1BDBC1CE640}"/>
              </a:ext>
            </a:extLst>
          </xdr:cNvPr>
          <xdr:cNvSpPr/>
        </xdr:nvSpPr>
        <xdr:spPr>
          <a:xfrm>
            <a:off x="7239000" y="3743325"/>
            <a:ext cx="1854479" cy="865848"/>
          </a:xfrm>
          <a:prstGeom prst="roundRect">
            <a:avLst/>
          </a:prstGeom>
          <a:solidFill>
            <a:schemeClr val="bg1"/>
          </a:solidFill>
          <a:ln w="19050"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A66AA76B-37DF-4BBF-9460-813129BEE4C4}" type="TxLink">
              <a:rPr lang="en-US" sz="2000" b="1" i="0" u="none" strike="noStrike">
                <a:solidFill>
                  <a:schemeClr val="accent3">
                    <a:lumMod val="50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pPr algn="ctr"/>
              <a:t>6.82%</a:t>
            </a:fld>
            <a:endParaRPr lang="en-US" sz="2000" b="1">
              <a:solidFill>
                <a:schemeClr val="accent3">
                  <a:lumMod val="50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F4073080-A5E8-01F7-5A6F-C6C21933FEDF}"/>
              </a:ext>
            </a:extLst>
          </xdr:cNvPr>
          <xdr:cNvSpPr txBox="1"/>
        </xdr:nvSpPr>
        <xdr:spPr>
          <a:xfrm>
            <a:off x="7324725" y="3851976"/>
            <a:ext cx="1704974" cy="4000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>
                <a:solidFill>
                  <a:schemeClr val="accent3">
                    <a:lumMod val="50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Return on Assets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1</xdr:row>
          <xdr:rowOff>76200</xdr:rowOff>
        </xdr:from>
        <xdr:to>
          <xdr:col>23</xdr:col>
          <xdr:colOff>596900</xdr:colOff>
          <xdr:row>3</xdr:row>
          <xdr:rowOff>101600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12700">
              <a:solidFill>
                <a:srgbClr val="17365D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2020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241300</xdr:colOff>
          <xdr:row>1</xdr:row>
          <xdr:rowOff>76200</xdr:rowOff>
        </xdr:from>
        <xdr:to>
          <xdr:col>26</xdr:col>
          <xdr:colOff>215900</xdr:colOff>
          <xdr:row>3</xdr:row>
          <xdr:rowOff>107950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12700">
              <a:solidFill>
                <a:srgbClr val="17365D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2021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463550</xdr:colOff>
          <xdr:row>1</xdr:row>
          <xdr:rowOff>76200</xdr:rowOff>
        </xdr:from>
        <xdr:to>
          <xdr:col>28</xdr:col>
          <xdr:colOff>425450</xdr:colOff>
          <xdr:row>3</xdr:row>
          <xdr:rowOff>107950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12700">
              <a:solidFill>
                <a:srgbClr val="17365D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2022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63500</xdr:colOff>
          <xdr:row>1</xdr:row>
          <xdr:rowOff>76200</xdr:rowOff>
        </xdr:from>
        <xdr:to>
          <xdr:col>31</xdr:col>
          <xdr:colOff>38100</xdr:colOff>
          <xdr:row>3</xdr:row>
          <xdr:rowOff>107950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12700">
              <a:solidFill>
                <a:srgbClr val="17365D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2023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285750</xdr:colOff>
          <xdr:row>1</xdr:row>
          <xdr:rowOff>76200</xdr:rowOff>
        </xdr:from>
        <xdr:to>
          <xdr:col>33</xdr:col>
          <xdr:colOff>254000</xdr:colOff>
          <xdr:row>3</xdr:row>
          <xdr:rowOff>101600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12700">
              <a:solidFill>
                <a:srgbClr val="17365D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2024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361950</xdr:colOff>
      <xdr:row>25</xdr:row>
      <xdr:rowOff>149412</xdr:rowOff>
    </xdr:from>
    <xdr:to>
      <xdr:col>23</xdr:col>
      <xdr:colOff>656105</xdr:colOff>
      <xdr:row>30</xdr:row>
      <xdr:rowOff>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192D8CA6-F9D5-4EEB-818E-7A007D65E774}"/>
            </a:ext>
          </a:extLst>
        </xdr:cNvPr>
        <xdr:cNvGrpSpPr/>
      </xdr:nvGrpSpPr>
      <xdr:grpSpPr>
        <a:xfrm>
          <a:off x="9363075" y="5016687"/>
          <a:ext cx="1516530" cy="755463"/>
          <a:chOff x="7239000" y="3743325"/>
          <a:chExt cx="1854479" cy="865848"/>
        </a:xfrm>
      </xdr:grpSpPr>
      <xdr:sp macro="" textlink="'Dashboards Engine'!$C$62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23DFFCBF-D2B6-3832-9E7D-B3D3F8F6462D}"/>
              </a:ext>
            </a:extLst>
          </xdr:cNvPr>
          <xdr:cNvSpPr/>
        </xdr:nvSpPr>
        <xdr:spPr>
          <a:xfrm>
            <a:off x="7239000" y="3743325"/>
            <a:ext cx="1854479" cy="865848"/>
          </a:xfrm>
          <a:prstGeom prst="roundRect">
            <a:avLst/>
          </a:prstGeom>
          <a:solidFill>
            <a:schemeClr val="bg1"/>
          </a:solidFill>
          <a:ln w="19050"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8824D5FB-0C2B-44B4-8C86-B0CEA82619A9}" type="TxLink">
              <a:rPr lang="en-US" sz="2000" b="1" i="0" u="none" strike="noStrike">
                <a:solidFill>
                  <a:srgbClr val="002060"/>
                </a:solidFill>
                <a:latin typeface="Calibri"/>
                <a:ea typeface="Calibri"/>
                <a:cs typeface="Calibri"/>
              </a:rPr>
              <a:pPr algn="ctr"/>
              <a:t>26.79%</a:t>
            </a:fld>
            <a:endParaRPr lang="en-US" sz="2000" b="1">
              <a:solidFill>
                <a:srgbClr val="00206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B3BC6238-01CA-2EFD-7A16-D389084E92F8}"/>
              </a:ext>
            </a:extLst>
          </xdr:cNvPr>
          <xdr:cNvSpPr txBox="1"/>
        </xdr:nvSpPr>
        <xdr:spPr>
          <a:xfrm>
            <a:off x="7324725" y="3851976"/>
            <a:ext cx="1704974" cy="4000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>
                <a:solidFill>
                  <a:schemeClr val="accent3">
                    <a:lumMod val="50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Gross Profit Margin</a:t>
            </a:r>
          </a:p>
        </xdr:txBody>
      </xdr:sp>
    </xdr:grpSp>
    <xdr:clientData/>
  </xdr:twoCellAnchor>
  <xdr:twoCellAnchor editAs="oneCell">
    <xdr:from>
      <xdr:col>24</xdr:col>
      <xdr:colOff>569444</xdr:colOff>
      <xdr:row>25</xdr:row>
      <xdr:rowOff>149412</xdr:rowOff>
    </xdr:from>
    <xdr:to>
      <xdr:col>27</xdr:col>
      <xdr:colOff>257174</xdr:colOff>
      <xdr:row>30</xdr:row>
      <xdr:rowOff>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D78E845-572F-427E-843B-2C976EC4D320}"/>
            </a:ext>
          </a:extLst>
        </xdr:cNvPr>
        <xdr:cNvGrpSpPr/>
      </xdr:nvGrpSpPr>
      <xdr:grpSpPr>
        <a:xfrm>
          <a:off x="11485094" y="5016687"/>
          <a:ext cx="1519705" cy="755463"/>
          <a:chOff x="7239000" y="3743325"/>
          <a:chExt cx="1858370" cy="865848"/>
        </a:xfrm>
      </xdr:grpSpPr>
      <xdr:sp macro="" textlink="'Dashboards Engine'!$C$63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C6E29972-561E-F02D-A708-D5B8517AD9C2}"/>
              </a:ext>
            </a:extLst>
          </xdr:cNvPr>
          <xdr:cNvSpPr/>
        </xdr:nvSpPr>
        <xdr:spPr>
          <a:xfrm>
            <a:off x="7239000" y="3743325"/>
            <a:ext cx="1858370" cy="865848"/>
          </a:xfrm>
          <a:prstGeom prst="roundRect">
            <a:avLst/>
          </a:prstGeom>
          <a:solidFill>
            <a:schemeClr val="bg1"/>
          </a:solidFill>
          <a:ln w="19050"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8FB7D91E-98E8-4A00-A6C0-7B4E3C4C33F8}" type="TxLink">
              <a:rPr lang="en-US" sz="2000" b="1" i="0" u="none" strike="noStrike">
                <a:solidFill>
                  <a:srgbClr val="002060"/>
                </a:solidFill>
                <a:latin typeface="Calibri"/>
                <a:ea typeface="Calibri"/>
                <a:cs typeface="Calibri"/>
              </a:rPr>
              <a:pPr algn="ctr"/>
              <a:t>6.03%</a:t>
            </a:fld>
            <a:endParaRPr lang="en-US" sz="2000" b="1">
              <a:solidFill>
                <a:srgbClr val="00206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1B8778A9-9000-6CA9-EF28-F2C54497DDA4}"/>
              </a:ext>
            </a:extLst>
          </xdr:cNvPr>
          <xdr:cNvSpPr txBox="1"/>
        </xdr:nvSpPr>
        <xdr:spPr>
          <a:xfrm>
            <a:off x="7324725" y="3851976"/>
            <a:ext cx="1704974" cy="4000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>
                <a:solidFill>
                  <a:schemeClr val="accent3">
                    <a:lumMod val="50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EBITDA Margin</a:t>
            </a:r>
          </a:p>
        </xdr:txBody>
      </xdr:sp>
    </xdr:grpSp>
    <xdr:clientData/>
  </xdr:twoCellAnchor>
  <xdr:twoCellAnchor editAs="oneCell">
    <xdr:from>
      <xdr:col>28</xdr:col>
      <xdr:colOff>344207</xdr:colOff>
      <xdr:row>25</xdr:row>
      <xdr:rowOff>149412</xdr:rowOff>
    </xdr:from>
    <xdr:to>
      <xdr:col>31</xdr:col>
      <xdr:colOff>40964</xdr:colOff>
      <xdr:row>30</xdr:row>
      <xdr:rowOff>3148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9613E013-15E9-494C-806E-D2F9A522B0EF}"/>
            </a:ext>
          </a:extLst>
        </xdr:cNvPr>
        <xdr:cNvGrpSpPr/>
      </xdr:nvGrpSpPr>
      <xdr:grpSpPr>
        <a:xfrm>
          <a:off x="13698257" y="5016687"/>
          <a:ext cx="1525557" cy="758611"/>
          <a:chOff x="7239000" y="3743325"/>
          <a:chExt cx="1854479" cy="865848"/>
        </a:xfrm>
      </xdr:grpSpPr>
      <xdr:sp macro="" textlink="'Dashboards Engine'!$C$64">
        <xdr:nvSpPr>
          <xdr:cNvPr id="15" name="Rectangle: Rounded Corners 14">
            <a:extLst>
              <a:ext uri="{FF2B5EF4-FFF2-40B4-BE49-F238E27FC236}">
                <a16:creationId xmlns:a16="http://schemas.microsoft.com/office/drawing/2014/main" id="{E2ED8BA7-EA3F-BE87-2FAA-FC80086CCA0A}"/>
              </a:ext>
            </a:extLst>
          </xdr:cNvPr>
          <xdr:cNvSpPr/>
        </xdr:nvSpPr>
        <xdr:spPr>
          <a:xfrm>
            <a:off x="7239000" y="3743325"/>
            <a:ext cx="1854479" cy="865848"/>
          </a:xfrm>
          <a:prstGeom prst="roundRect">
            <a:avLst/>
          </a:prstGeom>
          <a:solidFill>
            <a:schemeClr val="bg1"/>
          </a:solidFill>
          <a:ln w="19050"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B56D1F7D-86EF-417B-B6ED-887753D3CA2C}" type="TxLink">
              <a:rPr lang="en-US" sz="2000" b="1" i="0" u="none" strike="noStrike">
                <a:solidFill>
                  <a:srgbClr val="002060"/>
                </a:solidFill>
                <a:latin typeface="Calibri"/>
                <a:ea typeface="Calibri"/>
                <a:cs typeface="Calibri"/>
              </a:rPr>
              <a:pPr algn="ctr"/>
              <a:t>3.93%</a:t>
            </a:fld>
            <a:endParaRPr lang="en-US" sz="2000" b="1">
              <a:solidFill>
                <a:srgbClr val="00206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F4F39BCF-AA48-1349-E79D-27B8A31680BE}"/>
              </a:ext>
            </a:extLst>
          </xdr:cNvPr>
          <xdr:cNvSpPr txBox="1"/>
        </xdr:nvSpPr>
        <xdr:spPr>
          <a:xfrm>
            <a:off x="7324725" y="3851976"/>
            <a:ext cx="1704974" cy="4000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>
                <a:solidFill>
                  <a:schemeClr val="accent3">
                    <a:lumMod val="50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EBIT Margin</a:t>
            </a:r>
          </a:p>
        </xdr:txBody>
      </xdr:sp>
    </xdr:grpSp>
    <xdr:clientData/>
  </xdr:twoCellAnchor>
  <xdr:twoCellAnchor editAs="oneCell">
    <xdr:from>
      <xdr:col>32</xdr:col>
      <xdr:colOff>30816</xdr:colOff>
      <xdr:row>25</xdr:row>
      <xdr:rowOff>149412</xdr:rowOff>
    </xdr:from>
    <xdr:to>
      <xdr:col>34</xdr:col>
      <xdr:colOff>333832</xdr:colOff>
      <xdr:row>30</xdr:row>
      <xdr:rowOff>18887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FE562B6B-142D-477F-B8F2-4E3B891B7CC7}"/>
            </a:ext>
          </a:extLst>
        </xdr:cNvPr>
        <xdr:cNvGrpSpPr/>
      </xdr:nvGrpSpPr>
      <xdr:grpSpPr>
        <a:xfrm>
          <a:off x="15820091" y="5016687"/>
          <a:ext cx="1522216" cy="774350"/>
          <a:chOff x="7239000" y="3743325"/>
          <a:chExt cx="1854479" cy="865848"/>
        </a:xfrm>
      </xdr:grpSpPr>
      <xdr:sp macro="" textlink="'Dashboards Engine'!$C$65">
        <xdr:nvSpPr>
          <xdr:cNvPr id="18" name="Rectangle: Rounded Corners 17">
            <a:extLst>
              <a:ext uri="{FF2B5EF4-FFF2-40B4-BE49-F238E27FC236}">
                <a16:creationId xmlns:a16="http://schemas.microsoft.com/office/drawing/2014/main" id="{0CB1BB5E-F92E-1E08-C082-A8627F7CB271}"/>
              </a:ext>
            </a:extLst>
          </xdr:cNvPr>
          <xdr:cNvSpPr/>
        </xdr:nvSpPr>
        <xdr:spPr>
          <a:xfrm>
            <a:off x="7239000" y="3743325"/>
            <a:ext cx="1854479" cy="865848"/>
          </a:xfrm>
          <a:prstGeom prst="roundRect">
            <a:avLst/>
          </a:prstGeom>
          <a:solidFill>
            <a:schemeClr val="bg1"/>
          </a:solidFill>
          <a:ln w="19050"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8D9EA097-F1C8-45B7-B4A8-DE3CD7BFA5A9}" type="TxLink">
              <a:rPr lang="en-US" sz="2000" b="1" i="0" u="none" strike="noStrike">
                <a:solidFill>
                  <a:srgbClr val="002060"/>
                </a:solidFill>
                <a:latin typeface="Calibri"/>
                <a:ea typeface="Calibri"/>
                <a:cs typeface="Calibri"/>
              </a:rPr>
              <a:pPr algn="ctr"/>
              <a:t>3.02%</a:t>
            </a:fld>
            <a:endParaRPr lang="en-US" sz="2000" b="1">
              <a:solidFill>
                <a:srgbClr val="00206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AF11CA28-CBA3-B611-537A-19B26DD09BDE}"/>
              </a:ext>
            </a:extLst>
          </xdr:cNvPr>
          <xdr:cNvSpPr txBox="1"/>
        </xdr:nvSpPr>
        <xdr:spPr>
          <a:xfrm>
            <a:off x="7324725" y="3851976"/>
            <a:ext cx="1704974" cy="4000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>
                <a:solidFill>
                  <a:schemeClr val="accent3">
                    <a:lumMod val="50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Net Profit Margin</a:t>
            </a:r>
          </a:p>
        </xdr:txBody>
      </xdr:sp>
    </xdr:grpSp>
    <xdr:clientData/>
  </xdr:twoCellAnchor>
  <xdr:twoCellAnchor editAs="oneCell">
    <xdr:from>
      <xdr:col>21</xdr:col>
      <xdr:colOff>247650</xdr:colOff>
      <xdr:row>4</xdr:row>
      <xdr:rowOff>47625</xdr:rowOff>
    </xdr:from>
    <xdr:to>
      <xdr:col>34</xdr:col>
      <xdr:colOff>209551</xdr:colOff>
      <xdr:row>25</xdr:row>
      <xdr:rowOff>25400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21417408-C03D-DCAA-17D5-93EBF9DBC952}"/>
            </a:ext>
          </a:extLst>
        </xdr:cNvPr>
        <xdr:cNvGrpSpPr/>
      </xdr:nvGrpSpPr>
      <xdr:grpSpPr>
        <a:xfrm>
          <a:off x="9248775" y="1111250"/>
          <a:ext cx="7972426" cy="3784600"/>
          <a:chOff x="9067799" y="1111250"/>
          <a:chExt cx="7975598" cy="3625978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4" name="Chart 3">
                <a:extLst>
                  <a:ext uri="{FF2B5EF4-FFF2-40B4-BE49-F238E27FC236}">
                    <a16:creationId xmlns:a16="http://schemas.microsoft.com/office/drawing/2014/main" id="{3CE220C5-AC60-4315-AAF7-D757126EBE8A}"/>
                  </a:ext>
                </a:extLst>
              </xdr:cNvPr>
              <xdr:cNvGraphicFramePr/>
            </xdr:nvGraphicFramePr>
            <xdr:xfrm>
              <a:off x="9067799" y="1327278"/>
              <a:ext cx="7975598" cy="340995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067799" y="1327278"/>
                <a:ext cx="7975598" cy="340995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70556DDE-1B08-481F-8761-62D43177FC13}"/>
              </a:ext>
            </a:extLst>
          </xdr:cNvPr>
          <xdr:cNvSpPr txBox="1"/>
        </xdr:nvSpPr>
        <xdr:spPr>
          <a:xfrm>
            <a:off x="9067799" y="1111250"/>
            <a:ext cx="4467224" cy="2698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0">
                <a:solidFill>
                  <a:schemeClr val="accent3">
                    <a:lumMod val="50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Profit and Loss Waterfall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31750</xdr:colOff>
          <xdr:row>1</xdr:row>
          <xdr:rowOff>76200</xdr:rowOff>
        </xdr:from>
        <xdr:to>
          <xdr:col>23</xdr:col>
          <xdr:colOff>615950</xdr:colOff>
          <xdr:row>3</xdr:row>
          <xdr:rowOff>95250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gradFill rotWithShape="1">
              <a:gsLst>
                <a:gs pos="0">
                  <a:srgbClr val="ECECEC"/>
                </a:gs>
                <a:gs pos="100000">
                  <a:srgbClr val="FFFFFF"/>
                </a:gs>
              </a:gsLst>
              <a:lin ang="2700000" scaled="1"/>
            </a:gradFill>
            <a:ln w="19050">
              <a:solidFill>
                <a:srgbClr val="002254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2020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273050</xdr:colOff>
          <xdr:row>1</xdr:row>
          <xdr:rowOff>76200</xdr:rowOff>
        </xdr:from>
        <xdr:to>
          <xdr:col>26</xdr:col>
          <xdr:colOff>266700</xdr:colOff>
          <xdr:row>3</xdr:row>
          <xdr:rowOff>95250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gradFill rotWithShape="1">
              <a:gsLst>
                <a:gs pos="0">
                  <a:srgbClr val="ECECEC"/>
                </a:gs>
                <a:gs pos="100000">
                  <a:srgbClr val="FFFFFF"/>
                </a:gs>
              </a:gsLst>
              <a:lin ang="2700000" scaled="1"/>
            </a:gradFill>
            <a:ln w="19050">
              <a:solidFill>
                <a:srgbClr val="002254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2021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6350</xdr:colOff>
          <xdr:row>1</xdr:row>
          <xdr:rowOff>76200</xdr:rowOff>
        </xdr:from>
        <xdr:to>
          <xdr:col>28</xdr:col>
          <xdr:colOff>590550</xdr:colOff>
          <xdr:row>3</xdr:row>
          <xdr:rowOff>95250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3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gradFill rotWithShape="1">
              <a:gsLst>
                <a:gs pos="0">
                  <a:srgbClr val="ECECEC"/>
                </a:gs>
                <a:gs pos="100000">
                  <a:srgbClr val="FFFFFF"/>
                </a:gs>
              </a:gsLst>
              <a:lin ang="2700000" scaled="1"/>
            </a:gradFill>
            <a:ln w="19050">
              <a:solidFill>
                <a:srgbClr val="002254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2022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342900</xdr:colOff>
          <xdr:row>1</xdr:row>
          <xdr:rowOff>76200</xdr:rowOff>
        </xdr:from>
        <xdr:to>
          <xdr:col>31</xdr:col>
          <xdr:colOff>323850</xdr:colOff>
          <xdr:row>3</xdr:row>
          <xdr:rowOff>95250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3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gradFill rotWithShape="1">
              <a:gsLst>
                <a:gs pos="0">
                  <a:srgbClr val="ECECEC"/>
                </a:gs>
                <a:gs pos="100000">
                  <a:srgbClr val="FFFFFF"/>
                </a:gs>
              </a:gsLst>
              <a:lin ang="2700000" scaled="1"/>
            </a:gradFill>
            <a:ln w="19050">
              <a:solidFill>
                <a:srgbClr val="002254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2023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76200</xdr:colOff>
          <xdr:row>1</xdr:row>
          <xdr:rowOff>76200</xdr:rowOff>
        </xdr:from>
        <xdr:to>
          <xdr:col>34</xdr:col>
          <xdr:colOff>57150</xdr:colOff>
          <xdr:row>3</xdr:row>
          <xdr:rowOff>95250</xdr:rowOff>
        </xdr:to>
        <xdr:sp macro="" textlink="">
          <xdr:nvSpPr>
            <xdr:cNvPr id="2053" name="Option Butto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3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gradFill rotWithShape="1">
              <a:gsLst>
                <a:gs pos="0">
                  <a:srgbClr val="ECECEC"/>
                </a:gs>
                <a:gs pos="100000">
                  <a:srgbClr val="FFFFFF"/>
                </a:gs>
              </a:gsLst>
              <a:lin ang="2700000" scaled="1"/>
            </a:gradFill>
            <a:ln w="19050">
              <a:solidFill>
                <a:srgbClr val="002254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2024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161925</xdr:colOff>
      <xdr:row>4</xdr:row>
      <xdr:rowOff>82550</xdr:rowOff>
    </xdr:from>
    <xdr:to>
      <xdr:col>32</xdr:col>
      <xdr:colOff>254679</xdr:colOff>
      <xdr:row>21</xdr:row>
      <xdr:rowOff>63500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F3DA5504-333C-90B2-C0E0-7DD0B944D62F}"/>
            </a:ext>
          </a:extLst>
        </xdr:cNvPr>
        <xdr:cNvGrpSpPr/>
      </xdr:nvGrpSpPr>
      <xdr:grpSpPr>
        <a:xfrm>
          <a:off x="9388475" y="1123950"/>
          <a:ext cx="6804704" cy="3248025"/>
          <a:chOff x="9429750" y="1076325"/>
          <a:chExt cx="6801529" cy="3267075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4" name="Chart 3">
                <a:extLst>
                  <a:ext uri="{FF2B5EF4-FFF2-40B4-BE49-F238E27FC236}">
                    <a16:creationId xmlns:a16="http://schemas.microsoft.com/office/drawing/2014/main" id="{EC875C0E-CC8B-45EA-9D47-116566535F58}"/>
                  </a:ext>
                </a:extLst>
              </xdr:cNvPr>
              <xdr:cNvGraphicFramePr/>
            </xdr:nvGraphicFramePr>
            <xdr:xfrm>
              <a:off x="9429750" y="1301750"/>
              <a:ext cx="6801529" cy="304165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429750" y="1301750"/>
                <a:ext cx="6801529" cy="304165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7EB5AF1C-DDEE-4892-95B2-BA2812C3F8AA}"/>
              </a:ext>
            </a:extLst>
          </xdr:cNvPr>
          <xdr:cNvSpPr txBox="1"/>
        </xdr:nvSpPr>
        <xdr:spPr>
          <a:xfrm>
            <a:off x="9429750" y="1076325"/>
            <a:ext cx="4470399" cy="2748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0">
                <a:solidFill>
                  <a:schemeClr val="accent3">
                    <a:lumMod val="50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Annual Cash Flow Bridge</a:t>
            </a:r>
          </a:p>
        </xdr:txBody>
      </xdr:sp>
    </xdr:grpSp>
    <xdr:clientData/>
  </xdr:twoCellAnchor>
  <xdr:twoCellAnchor editAs="oneCell">
    <xdr:from>
      <xdr:col>33</xdr:col>
      <xdr:colOff>473075</xdr:colOff>
      <xdr:row>21</xdr:row>
      <xdr:rowOff>142878</xdr:rowOff>
    </xdr:from>
    <xdr:to>
      <xdr:col>44</xdr:col>
      <xdr:colOff>458088</xdr:colOff>
      <xdr:row>39</xdr:row>
      <xdr:rowOff>6353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25D49746-5598-2E7B-C4EB-7FF131889751}"/>
            </a:ext>
          </a:extLst>
        </xdr:cNvPr>
        <xdr:cNvGrpSpPr/>
      </xdr:nvGrpSpPr>
      <xdr:grpSpPr>
        <a:xfrm>
          <a:off x="17018000" y="4445003"/>
          <a:ext cx="6690613" cy="3127375"/>
          <a:chOff x="14340278" y="1746636"/>
          <a:chExt cx="6682726" cy="3127345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C4162361-97B5-457F-8472-2BB6A43F59A6}"/>
              </a:ext>
            </a:extLst>
          </xdr:cNvPr>
          <xdr:cNvGraphicFramePr>
            <a:graphicFrameLocks/>
          </xdr:cNvGraphicFramePr>
        </xdr:nvGraphicFramePr>
        <xdr:xfrm>
          <a:off x="14367316" y="2026006"/>
          <a:ext cx="6655688" cy="28479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CB312259-706F-4586-920B-3B1711D2BFC4}"/>
              </a:ext>
            </a:extLst>
          </xdr:cNvPr>
          <xdr:cNvSpPr txBox="1"/>
        </xdr:nvSpPr>
        <xdr:spPr>
          <a:xfrm>
            <a:off x="14340278" y="1746636"/>
            <a:ext cx="4467224" cy="2812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0">
                <a:solidFill>
                  <a:schemeClr val="accent3">
                    <a:lumMod val="50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Change</a:t>
            </a:r>
            <a:r>
              <a:rPr lang="en-US" sz="1200" b="0" baseline="0">
                <a:solidFill>
                  <a:schemeClr val="accent3">
                    <a:lumMod val="50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in Working Capital (2020-2024)</a:t>
            </a:r>
            <a:endParaRPr lang="en-US" sz="1200" b="0">
              <a:solidFill>
                <a:schemeClr val="accent3">
                  <a:lumMod val="50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xdr:txBody>
      </xdr:sp>
    </xdr:grpSp>
    <xdr:clientData/>
  </xdr:twoCellAnchor>
  <xdr:twoCellAnchor editAs="oneCell">
    <xdr:from>
      <xdr:col>33</xdr:col>
      <xdr:colOff>447675</xdr:colOff>
      <xdr:row>4</xdr:row>
      <xdr:rowOff>122986</xdr:rowOff>
    </xdr:from>
    <xdr:to>
      <xdr:col>44</xdr:col>
      <xdr:colOff>532861</xdr:colOff>
      <xdr:row>20</xdr:row>
      <xdr:rowOff>155307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DC5A84B9-2993-7BF5-B20B-B2E792EC1AAC}"/>
            </a:ext>
          </a:extLst>
        </xdr:cNvPr>
        <xdr:cNvGrpSpPr/>
      </xdr:nvGrpSpPr>
      <xdr:grpSpPr>
        <a:xfrm>
          <a:off x="16989425" y="1164386"/>
          <a:ext cx="6793961" cy="3115246"/>
          <a:chOff x="8153400" y="1114425"/>
          <a:chExt cx="6790786" cy="3136695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2B2AF22E-E848-40B5-A8A7-67E3852B18C3}"/>
              </a:ext>
            </a:extLst>
          </xdr:cNvPr>
          <xdr:cNvGraphicFramePr>
            <a:graphicFrameLocks/>
          </xdr:cNvGraphicFramePr>
        </xdr:nvGraphicFramePr>
        <xdr:xfrm>
          <a:off x="8153400" y="1400175"/>
          <a:ext cx="6790786" cy="28509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FE1132F-9048-4A50-B31A-49FE45F25781}"/>
              </a:ext>
            </a:extLst>
          </xdr:cNvPr>
          <xdr:cNvSpPr txBox="1"/>
        </xdr:nvSpPr>
        <xdr:spPr>
          <a:xfrm>
            <a:off x="8153400" y="1114425"/>
            <a:ext cx="4470399" cy="2748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0">
                <a:solidFill>
                  <a:schemeClr val="accent3">
                    <a:lumMod val="50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Operating, Investing, and Financing Cash Flows (2020-2024)</a:t>
            </a:r>
          </a:p>
        </xdr:txBody>
      </xdr:sp>
    </xdr:grpSp>
    <xdr:clientData/>
  </xdr:twoCellAnchor>
  <xdr:twoCellAnchor editAs="oneCell">
    <xdr:from>
      <xdr:col>21</xdr:col>
      <xdr:colOff>531912</xdr:colOff>
      <xdr:row>22</xdr:row>
      <xdr:rowOff>48208</xdr:rowOff>
    </xdr:from>
    <xdr:to>
      <xdr:col>25</xdr:col>
      <xdr:colOff>572497</xdr:colOff>
      <xdr:row>26</xdr:row>
      <xdr:rowOff>54439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B7AFB208-437A-4DBE-AAD0-B63C6B1A8FC9}"/>
            </a:ext>
          </a:extLst>
        </xdr:cNvPr>
        <xdr:cNvGrpSpPr/>
      </xdr:nvGrpSpPr>
      <xdr:grpSpPr>
        <a:xfrm>
          <a:off x="9761637" y="4531308"/>
          <a:ext cx="2478985" cy="733306"/>
          <a:chOff x="7239000" y="3743325"/>
          <a:chExt cx="1854479" cy="865848"/>
        </a:xfrm>
      </xdr:grpSpPr>
      <xdr:sp macro="" textlink="'Dashboards Engine'!$C$103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4717C9C2-774A-B452-B0C1-B4C7E7895647}"/>
              </a:ext>
            </a:extLst>
          </xdr:cNvPr>
          <xdr:cNvSpPr/>
        </xdr:nvSpPr>
        <xdr:spPr>
          <a:xfrm>
            <a:off x="7239000" y="3743325"/>
            <a:ext cx="1854479" cy="865848"/>
          </a:xfrm>
          <a:prstGeom prst="roundRect">
            <a:avLst/>
          </a:prstGeom>
          <a:solidFill>
            <a:schemeClr val="bg1"/>
          </a:solidFill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B24819D2-8796-48BB-A2F1-6240C0E67B2D}" type="TxLink">
              <a:rPr lang="en-US" sz="2000" b="1" i="0" u="none" strike="noStrike">
                <a:solidFill>
                  <a:schemeClr val="bg1">
                    <a:lumMod val="50000"/>
                  </a:schemeClr>
                </a:solidFill>
                <a:latin typeface="Calibri"/>
                <a:ea typeface="Calibri"/>
                <a:cs typeface="Calibri"/>
              </a:rPr>
              <a:pPr algn="ctr"/>
              <a:t>2.78%</a:t>
            </a:fld>
            <a:endParaRPr lang="en-US" sz="20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971391A3-462D-39FA-62EE-D76BEACEF595}"/>
              </a:ext>
            </a:extLst>
          </xdr:cNvPr>
          <xdr:cNvSpPr txBox="1"/>
        </xdr:nvSpPr>
        <xdr:spPr>
          <a:xfrm>
            <a:off x="7324725" y="3851977"/>
            <a:ext cx="1704976" cy="4000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>
                <a:solidFill>
                  <a:schemeClr val="tx1">
                    <a:lumMod val="50000"/>
                    <a:lumOff val="50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Free Cash Flow Margin</a:t>
            </a:r>
          </a:p>
        </xdr:txBody>
      </xdr:sp>
    </xdr:grpSp>
    <xdr:clientData/>
  </xdr:twoCellAnchor>
  <xdr:twoCellAnchor editAs="oneCell">
    <xdr:from>
      <xdr:col>21</xdr:col>
      <xdr:colOff>550722</xdr:colOff>
      <xdr:row>35</xdr:row>
      <xdr:rowOff>46944</xdr:rowOff>
    </xdr:from>
    <xdr:to>
      <xdr:col>25</xdr:col>
      <xdr:colOff>608009</xdr:colOff>
      <xdr:row>39</xdr:row>
      <xdr:rowOff>45130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E7868A5B-7D63-4AE3-BB29-31F94B12FDF7}"/>
            </a:ext>
          </a:extLst>
        </xdr:cNvPr>
        <xdr:cNvGrpSpPr/>
      </xdr:nvGrpSpPr>
      <xdr:grpSpPr>
        <a:xfrm>
          <a:off x="9780447" y="6889069"/>
          <a:ext cx="2495687" cy="722086"/>
          <a:chOff x="7239000" y="3743325"/>
          <a:chExt cx="1854479" cy="865848"/>
        </a:xfrm>
      </xdr:grpSpPr>
      <xdr:sp macro="" textlink="'Dashboards Engine'!$C$107">
        <xdr:nvSpPr>
          <xdr:cNvPr id="17" name="Rectangle: Rounded Corners 16">
            <a:extLst>
              <a:ext uri="{FF2B5EF4-FFF2-40B4-BE49-F238E27FC236}">
                <a16:creationId xmlns:a16="http://schemas.microsoft.com/office/drawing/2014/main" id="{E4CD5189-F8DD-F970-F550-3572A549DC79}"/>
              </a:ext>
            </a:extLst>
          </xdr:cNvPr>
          <xdr:cNvSpPr/>
        </xdr:nvSpPr>
        <xdr:spPr>
          <a:xfrm>
            <a:off x="7239000" y="3743325"/>
            <a:ext cx="1854479" cy="865848"/>
          </a:xfrm>
          <a:prstGeom prst="roundRect">
            <a:avLst/>
          </a:prstGeom>
          <a:solidFill>
            <a:schemeClr val="bg1"/>
          </a:solidFill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D65DF5B3-4C98-436D-A953-27E5DEF2D51A}" type="TxLink">
              <a:rPr lang="en-US" sz="2000" b="1" i="0" u="none" strike="noStrike">
                <a:solidFill>
                  <a:schemeClr val="bg1">
                    <a:lumMod val="50000"/>
                  </a:schemeClr>
                </a:solidFill>
                <a:latin typeface="Calibri"/>
                <a:ea typeface="Calibri"/>
                <a:cs typeface="Calibri"/>
              </a:rPr>
              <a:pPr algn="ctr"/>
              <a:t> 0.32 </a:t>
            </a:fld>
            <a:endParaRPr lang="en-US" sz="20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210AD369-18AB-7332-F0DF-617C4651D892}"/>
              </a:ext>
            </a:extLst>
          </xdr:cNvPr>
          <xdr:cNvSpPr txBox="1"/>
        </xdr:nvSpPr>
        <xdr:spPr>
          <a:xfrm>
            <a:off x="7324725" y="3851977"/>
            <a:ext cx="1704976" cy="4000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>
                <a:solidFill>
                  <a:schemeClr val="tx1">
                    <a:lumMod val="50000"/>
                    <a:lumOff val="50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Operating Cash Flow Ratio</a:t>
            </a:r>
          </a:p>
        </xdr:txBody>
      </xdr:sp>
    </xdr:grpSp>
    <xdr:clientData/>
  </xdr:twoCellAnchor>
  <xdr:twoCellAnchor editAs="oneCell">
    <xdr:from>
      <xdr:col>27</xdr:col>
      <xdr:colOff>435747</xdr:colOff>
      <xdr:row>28</xdr:row>
      <xdr:rowOff>135321</xdr:rowOff>
    </xdr:from>
    <xdr:to>
      <xdr:col>31</xdr:col>
      <xdr:colOff>485634</xdr:colOff>
      <xdr:row>32</xdr:row>
      <xdr:rowOff>162351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7AB7F2D3-6CC2-473E-8C68-89B30FE59DAD}"/>
            </a:ext>
          </a:extLst>
        </xdr:cNvPr>
        <xdr:cNvGrpSpPr/>
      </xdr:nvGrpSpPr>
      <xdr:grpSpPr>
        <a:xfrm>
          <a:off x="13323072" y="5707446"/>
          <a:ext cx="2491462" cy="747755"/>
          <a:chOff x="7239000" y="3743325"/>
          <a:chExt cx="1854479" cy="865848"/>
        </a:xfrm>
      </xdr:grpSpPr>
      <xdr:sp macro="" textlink="'Dashboards Engine'!$C$106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BC13FF53-0AD2-EB17-37CB-A40308C2C804}"/>
              </a:ext>
            </a:extLst>
          </xdr:cNvPr>
          <xdr:cNvSpPr/>
        </xdr:nvSpPr>
        <xdr:spPr>
          <a:xfrm>
            <a:off x="7239000" y="3743325"/>
            <a:ext cx="1854479" cy="865848"/>
          </a:xfrm>
          <a:prstGeom prst="roundRect">
            <a:avLst/>
          </a:prstGeom>
          <a:solidFill>
            <a:schemeClr val="bg1"/>
          </a:solidFill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23510001-1533-4718-995F-6C50AEDA9989}" type="TxLink">
              <a:rPr lang="en-US" sz="2000" b="1" i="0" u="none" strike="noStrike">
                <a:solidFill>
                  <a:schemeClr val="bg1">
                    <a:lumMod val="50000"/>
                  </a:schemeClr>
                </a:solidFill>
                <a:latin typeface="Calibri"/>
                <a:ea typeface="Calibri"/>
                <a:cs typeface="Calibri"/>
              </a:rPr>
              <a:pPr algn="ctr"/>
              <a:t> 0.24 </a:t>
            </a:fld>
            <a:endParaRPr lang="en-US" sz="20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59E3119A-BC64-A4F4-731E-5D560D1ECF9A}"/>
              </a:ext>
            </a:extLst>
          </xdr:cNvPr>
          <xdr:cNvSpPr txBox="1"/>
        </xdr:nvSpPr>
        <xdr:spPr>
          <a:xfrm>
            <a:off x="7324725" y="3851977"/>
            <a:ext cx="1704976" cy="4000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>
                <a:solidFill>
                  <a:schemeClr val="tx1">
                    <a:lumMod val="50000"/>
                    <a:lumOff val="50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CAPEX to Operating Cash  Ratio</a:t>
            </a:r>
          </a:p>
        </xdr:txBody>
      </xdr:sp>
    </xdr:grpSp>
    <xdr:clientData/>
  </xdr:twoCellAnchor>
  <xdr:twoCellAnchor editAs="oneCell">
    <xdr:from>
      <xdr:col>27</xdr:col>
      <xdr:colOff>438672</xdr:colOff>
      <xdr:row>22</xdr:row>
      <xdr:rowOff>26686</xdr:rowOff>
    </xdr:from>
    <xdr:to>
      <xdr:col>31</xdr:col>
      <xdr:colOff>486816</xdr:colOff>
      <xdr:row>26</xdr:row>
      <xdr:rowOff>49833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443AD60-2BD4-4FED-88C7-6FE24B1BC652}"/>
            </a:ext>
          </a:extLst>
        </xdr:cNvPr>
        <xdr:cNvGrpSpPr/>
      </xdr:nvGrpSpPr>
      <xdr:grpSpPr>
        <a:xfrm>
          <a:off x="13325997" y="4516136"/>
          <a:ext cx="2483369" cy="740697"/>
          <a:chOff x="7239000" y="3743325"/>
          <a:chExt cx="1854479" cy="865848"/>
        </a:xfrm>
      </xdr:grpSpPr>
      <xdr:sp macro="" textlink="'Dashboards Engine'!$C$104">
        <xdr:nvSpPr>
          <xdr:cNvPr id="23" name="Rectangle: Rounded Corners 22">
            <a:extLst>
              <a:ext uri="{FF2B5EF4-FFF2-40B4-BE49-F238E27FC236}">
                <a16:creationId xmlns:a16="http://schemas.microsoft.com/office/drawing/2014/main" id="{6CAF94AC-ACBA-3180-78E9-B0A418CCE501}"/>
              </a:ext>
            </a:extLst>
          </xdr:cNvPr>
          <xdr:cNvSpPr/>
        </xdr:nvSpPr>
        <xdr:spPr>
          <a:xfrm>
            <a:off x="7239000" y="3743325"/>
            <a:ext cx="1854479" cy="865848"/>
          </a:xfrm>
          <a:prstGeom prst="roundRect">
            <a:avLst/>
          </a:prstGeom>
          <a:solidFill>
            <a:schemeClr val="bg1"/>
          </a:solidFill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11AE0CFD-47C9-4AD9-BB30-E5CE27D4D8A4}" type="TxLink">
              <a:rPr lang="en-US" sz="2000" b="1" i="0" u="none" strike="noStrike">
                <a:solidFill>
                  <a:schemeClr val="bg1">
                    <a:lumMod val="50000"/>
                  </a:schemeClr>
                </a:solidFill>
                <a:latin typeface="Calibri"/>
                <a:ea typeface="Calibri"/>
                <a:cs typeface="Calibri"/>
              </a:rPr>
              <a:pPr algn="ctr"/>
              <a:t> 0.92 </a:t>
            </a:fld>
            <a:endParaRPr lang="en-US" sz="20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B627954C-C105-21DC-469B-00BC72C2EFA2}"/>
              </a:ext>
            </a:extLst>
          </xdr:cNvPr>
          <xdr:cNvSpPr txBox="1"/>
        </xdr:nvSpPr>
        <xdr:spPr>
          <a:xfrm>
            <a:off x="7324725" y="3851977"/>
            <a:ext cx="1704976" cy="4000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>
                <a:solidFill>
                  <a:schemeClr val="tx1">
                    <a:lumMod val="50000"/>
                    <a:lumOff val="50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Free Cash Flow to Net Income</a:t>
            </a:r>
          </a:p>
        </xdr:txBody>
      </xdr:sp>
    </xdr:grpSp>
    <xdr:clientData/>
  </xdr:twoCellAnchor>
  <xdr:twoCellAnchor editAs="oneCell">
    <xdr:from>
      <xdr:col>21</xdr:col>
      <xdr:colOff>535086</xdr:colOff>
      <xdr:row>28</xdr:row>
      <xdr:rowOff>135319</xdr:rowOff>
    </xdr:from>
    <xdr:to>
      <xdr:col>25</xdr:col>
      <xdr:colOff>592492</xdr:colOff>
      <xdr:row>32</xdr:row>
      <xdr:rowOff>142156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1345D9CA-FD2C-4DA3-9F30-2C7F8770A9BB}"/>
            </a:ext>
          </a:extLst>
        </xdr:cNvPr>
        <xdr:cNvGrpSpPr/>
      </xdr:nvGrpSpPr>
      <xdr:grpSpPr>
        <a:xfrm>
          <a:off x="9764811" y="5707444"/>
          <a:ext cx="2495806" cy="733912"/>
          <a:chOff x="7239000" y="3743325"/>
          <a:chExt cx="1854479" cy="865848"/>
        </a:xfrm>
      </xdr:grpSpPr>
      <xdr:sp macro="" textlink="'Dashboards Engine'!$C$105">
        <xdr:nvSpPr>
          <xdr:cNvPr id="26" name="Rectangle: Rounded Corners 25">
            <a:extLst>
              <a:ext uri="{FF2B5EF4-FFF2-40B4-BE49-F238E27FC236}">
                <a16:creationId xmlns:a16="http://schemas.microsoft.com/office/drawing/2014/main" id="{34064585-4ED9-987A-52D6-08A4154402CA}"/>
              </a:ext>
            </a:extLst>
          </xdr:cNvPr>
          <xdr:cNvSpPr/>
        </xdr:nvSpPr>
        <xdr:spPr>
          <a:xfrm>
            <a:off x="7239000" y="3743325"/>
            <a:ext cx="1854479" cy="865848"/>
          </a:xfrm>
          <a:prstGeom prst="roundRect">
            <a:avLst/>
          </a:prstGeom>
          <a:solidFill>
            <a:schemeClr val="bg1"/>
          </a:solidFill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9D300121-E462-4A8F-8B75-797E729F631F}" type="TxLink">
              <a:rPr lang="en-US" sz="2000" b="1" i="0" u="none" strike="noStrike">
                <a:solidFill>
                  <a:schemeClr val="bg1">
                    <a:lumMod val="50000"/>
                  </a:schemeClr>
                </a:solidFill>
                <a:latin typeface="Calibri"/>
                <a:ea typeface="Calibri"/>
                <a:cs typeface="Calibri"/>
              </a:rPr>
              <a:pPr algn="ctr"/>
              <a:t> 0.12 </a:t>
            </a:fld>
            <a:endParaRPr lang="en-US" sz="20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A55D5D10-2CAE-BE15-9090-D7A1624AB911}"/>
              </a:ext>
            </a:extLst>
          </xdr:cNvPr>
          <xdr:cNvSpPr txBox="1"/>
        </xdr:nvSpPr>
        <xdr:spPr>
          <a:xfrm>
            <a:off x="7324725" y="3851977"/>
            <a:ext cx="1704976" cy="4000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>
                <a:solidFill>
                  <a:schemeClr val="tx1">
                    <a:lumMod val="50000"/>
                    <a:lumOff val="50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Cash Ratio</a:t>
            </a:r>
          </a:p>
        </xdr:txBody>
      </xdr:sp>
    </xdr:grpSp>
    <xdr:clientData/>
  </xdr:twoCellAnchor>
  <xdr:twoCellAnchor editAs="oneCell">
    <xdr:from>
      <xdr:col>27</xdr:col>
      <xdr:colOff>435447</xdr:colOff>
      <xdr:row>35</xdr:row>
      <xdr:rowOff>46945</xdr:rowOff>
    </xdr:from>
    <xdr:to>
      <xdr:col>31</xdr:col>
      <xdr:colOff>482600</xdr:colOff>
      <xdr:row>39</xdr:row>
      <xdr:rowOff>57151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A5328BC2-8FFD-400F-8BD9-A7389B9F4C2C}"/>
            </a:ext>
          </a:extLst>
        </xdr:cNvPr>
        <xdr:cNvGrpSpPr/>
      </xdr:nvGrpSpPr>
      <xdr:grpSpPr>
        <a:xfrm>
          <a:off x="13322772" y="6889070"/>
          <a:ext cx="2488728" cy="730931"/>
          <a:chOff x="7239000" y="3743325"/>
          <a:chExt cx="1854479" cy="865848"/>
        </a:xfrm>
      </xdr:grpSpPr>
      <xdr:sp macro="" textlink="'Dashboards Engine'!$C$107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57620CE4-42AF-E44D-B157-EB6E086BF026}"/>
              </a:ext>
            </a:extLst>
          </xdr:cNvPr>
          <xdr:cNvSpPr/>
        </xdr:nvSpPr>
        <xdr:spPr>
          <a:xfrm>
            <a:off x="7239000" y="3743325"/>
            <a:ext cx="1854479" cy="865848"/>
          </a:xfrm>
          <a:prstGeom prst="roundRect">
            <a:avLst/>
          </a:prstGeom>
          <a:solidFill>
            <a:schemeClr val="bg1"/>
          </a:solidFill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173F648F-16F0-4242-BAEF-B66518185C39}" type="TxLink">
              <a:rPr lang="en-US" sz="2000" b="1" i="0" u="none" strike="noStrike">
                <a:solidFill>
                  <a:schemeClr val="bg1">
                    <a:lumMod val="50000"/>
                  </a:schemeClr>
                </a:solidFill>
                <a:latin typeface="Calibri"/>
                <a:ea typeface="Calibri"/>
                <a:cs typeface="Calibri"/>
              </a:rPr>
              <a:pPr algn="ctr"/>
              <a:t> 0.32 </a:t>
            </a:fld>
            <a:endParaRPr lang="en-US" sz="20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7E612961-5D6A-5A9E-EFA8-57EE58E6C468}"/>
              </a:ext>
            </a:extLst>
          </xdr:cNvPr>
          <xdr:cNvSpPr txBox="1"/>
        </xdr:nvSpPr>
        <xdr:spPr>
          <a:xfrm>
            <a:off x="7324725" y="3851977"/>
            <a:ext cx="1704976" cy="4000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>
                <a:solidFill>
                  <a:schemeClr val="tx1">
                    <a:lumMod val="50000"/>
                    <a:lumOff val="50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Cash Flow to Debt Ratio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1</xdr:row>
          <xdr:rowOff>69850</xdr:rowOff>
        </xdr:from>
        <xdr:to>
          <xdr:col>23</xdr:col>
          <xdr:colOff>558800</xdr:colOff>
          <xdr:row>3</xdr:row>
          <xdr:rowOff>120650</xdr:rowOff>
        </xdr:to>
        <xdr:sp macro="" textlink="">
          <xdr:nvSpPr>
            <xdr:cNvPr id="3073" name="Option 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4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gradFill rotWithShape="1">
              <a:gsLst>
                <a:gs pos="0">
                  <a:srgbClr val="ECECEC"/>
                </a:gs>
                <a:gs pos="100000">
                  <a:srgbClr val="FFFFFF"/>
                </a:gs>
              </a:gsLst>
              <a:lin ang="2700000" scaled="1"/>
            </a:gradFill>
            <a:ln w="19050">
              <a:solidFill>
                <a:srgbClr val="002254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2020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234950</xdr:colOff>
          <xdr:row>1</xdr:row>
          <xdr:rowOff>63500</xdr:rowOff>
        </xdr:from>
        <xdr:to>
          <xdr:col>26</xdr:col>
          <xdr:colOff>222250</xdr:colOff>
          <xdr:row>3</xdr:row>
          <xdr:rowOff>120650</xdr:rowOff>
        </xdr:to>
        <xdr:sp macro="" textlink="">
          <xdr:nvSpPr>
            <xdr:cNvPr id="3074" name="Option 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4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gradFill rotWithShape="1">
              <a:gsLst>
                <a:gs pos="0">
                  <a:srgbClr val="ECECEC"/>
                </a:gs>
                <a:gs pos="100000">
                  <a:srgbClr val="FFFFFF"/>
                </a:gs>
              </a:gsLst>
              <a:lin ang="2700000" scaled="1"/>
            </a:gradFill>
            <a:ln w="19050">
              <a:solidFill>
                <a:srgbClr val="002254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2021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501650</xdr:colOff>
          <xdr:row>1</xdr:row>
          <xdr:rowOff>63500</xdr:rowOff>
        </xdr:from>
        <xdr:to>
          <xdr:col>28</xdr:col>
          <xdr:colOff>488950</xdr:colOff>
          <xdr:row>3</xdr:row>
          <xdr:rowOff>120650</xdr:rowOff>
        </xdr:to>
        <xdr:sp macro="" textlink="">
          <xdr:nvSpPr>
            <xdr:cNvPr id="3075" name="Option 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4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gradFill rotWithShape="1">
              <a:gsLst>
                <a:gs pos="0">
                  <a:srgbClr val="ECECEC"/>
                </a:gs>
                <a:gs pos="100000">
                  <a:srgbClr val="FFFFFF"/>
                </a:gs>
              </a:gsLst>
              <a:lin ang="2700000" scaled="1"/>
            </a:gradFill>
            <a:ln w="19050">
              <a:solidFill>
                <a:srgbClr val="002254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2022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158750</xdr:colOff>
          <xdr:row>1</xdr:row>
          <xdr:rowOff>63500</xdr:rowOff>
        </xdr:from>
        <xdr:to>
          <xdr:col>31</xdr:col>
          <xdr:colOff>139700</xdr:colOff>
          <xdr:row>3</xdr:row>
          <xdr:rowOff>120650</xdr:rowOff>
        </xdr:to>
        <xdr:sp macro="" textlink="">
          <xdr:nvSpPr>
            <xdr:cNvPr id="3076" name="Option 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4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gradFill rotWithShape="1">
              <a:gsLst>
                <a:gs pos="0">
                  <a:srgbClr val="ECECEC"/>
                </a:gs>
                <a:gs pos="100000">
                  <a:srgbClr val="FFFFFF"/>
                </a:gs>
              </a:gsLst>
              <a:lin ang="2700000" scaled="1"/>
            </a:gradFill>
            <a:ln w="19050">
              <a:solidFill>
                <a:srgbClr val="002254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2023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438150</xdr:colOff>
          <xdr:row>1</xdr:row>
          <xdr:rowOff>69850</xdr:rowOff>
        </xdr:from>
        <xdr:to>
          <xdr:col>33</xdr:col>
          <xdr:colOff>406400</xdr:colOff>
          <xdr:row>3</xdr:row>
          <xdr:rowOff>120650</xdr:rowOff>
        </xdr:to>
        <xdr:sp macro="" textlink="">
          <xdr:nvSpPr>
            <xdr:cNvPr id="3077" name="Option Butto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4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gradFill rotWithShape="1">
              <a:gsLst>
                <a:gs pos="0">
                  <a:srgbClr val="ECECEC"/>
                </a:gs>
                <a:gs pos="100000">
                  <a:srgbClr val="FFFFFF"/>
                </a:gs>
              </a:gsLst>
              <a:lin ang="2700000" scaled="1"/>
            </a:gradFill>
            <a:ln w="19050">
              <a:solidFill>
                <a:srgbClr val="002254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2024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7EB2E6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7" Type="http://schemas.openxmlformats.org/officeDocument/2006/relationships/ctrlProp" Target="../ctrlProps/ctrlProp10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1.xml"/><Relationship Id="rId7" Type="http://schemas.openxmlformats.org/officeDocument/2006/relationships/ctrlProp" Target="../ctrlProps/ctrlProp1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14.xml"/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E4BD8-BAF3-4DB4-9E78-A4DF3C57CE4D}">
  <sheetPr codeName="Sheet1">
    <tabColor theme="0" tint="-0.499984740745262"/>
  </sheetPr>
  <dimension ref="A1:X37"/>
  <sheetViews>
    <sheetView showGridLines="0" tabSelected="1" workbookViewId="0"/>
  </sheetViews>
  <sheetFormatPr defaultRowHeight="14.5" x14ac:dyDescent="0.35"/>
  <cols>
    <col min="1" max="1" width="3.36328125" customWidth="1"/>
    <col min="3" max="3" width="14.453125" customWidth="1"/>
  </cols>
  <sheetData>
    <row r="1" spans="1:24" s="96" customFormat="1" ht="38" customHeight="1" x14ac:dyDescent="0.35">
      <c r="B1" s="94" t="s">
        <v>87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</row>
    <row r="2" spans="1:24" ht="17.5" customHeight="1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9" customHeight="1" thickBot="1" x14ac:dyDescent="0.4">
      <c r="A3" s="5"/>
      <c r="B3" s="130" t="s">
        <v>179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5"/>
      <c r="S3" s="5"/>
      <c r="T3" s="5"/>
      <c r="U3" s="5"/>
      <c r="V3" s="5"/>
      <c r="W3" s="5"/>
      <c r="X3" s="5"/>
    </row>
    <row r="4" spans="1:24" ht="15" customHeight="1" thickTop="1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29.5" customHeight="1" x14ac:dyDescent="0.35">
      <c r="A5" s="5"/>
      <c r="B5" s="156" t="s">
        <v>201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5"/>
      <c r="S5" s="5"/>
      <c r="T5" s="5"/>
      <c r="U5" s="5"/>
      <c r="V5" s="5"/>
      <c r="W5" s="5"/>
      <c r="X5" s="5"/>
    </row>
    <row r="6" spans="1:24" ht="15" customHeight="1" x14ac:dyDescent="0.35">
      <c r="A6" s="5"/>
      <c r="B6" s="132"/>
      <c r="C6" s="13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5" customHeight="1" x14ac:dyDescent="0.35">
      <c r="A7" s="5"/>
      <c r="B7" s="132" t="s">
        <v>180</v>
      </c>
      <c r="C7" s="13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s="3" customFormat="1" ht="15" customHeight="1" x14ac:dyDescent="0.35">
      <c r="A8" s="134"/>
      <c r="B8" s="135" t="s">
        <v>181</v>
      </c>
      <c r="C8" s="133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134"/>
      <c r="S8" s="134"/>
      <c r="T8" s="134"/>
      <c r="U8" s="134"/>
      <c r="V8" s="134"/>
      <c r="W8" s="134"/>
      <c r="X8" s="134"/>
    </row>
    <row r="9" spans="1:24" ht="15" customHeight="1" x14ac:dyDescent="0.35">
      <c r="A9" s="5"/>
      <c r="B9" s="135" t="s">
        <v>182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5" customHeight="1" x14ac:dyDescent="0.35">
      <c r="A10" s="5"/>
      <c r="B10" s="135" t="s">
        <v>183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5" customHeight="1" x14ac:dyDescent="0.35">
      <c r="A11" s="5"/>
      <c r="B11" s="5"/>
      <c r="C11" s="133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5" customHeight="1" x14ac:dyDescent="0.35">
      <c r="A12" s="5"/>
      <c r="B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5" customHeight="1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9" customHeight="1" thickBot="1" x14ac:dyDescent="0.4">
      <c r="A14" s="5"/>
      <c r="B14" s="130" t="s">
        <v>108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5"/>
      <c r="S14" s="5"/>
      <c r="T14" s="5"/>
      <c r="U14" s="5"/>
      <c r="V14" s="5"/>
      <c r="W14" s="5"/>
      <c r="X14" s="5"/>
    </row>
    <row r="15" spans="1:24" ht="15" customHeight="1" thickTop="1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5" customHeight="1" x14ac:dyDescent="0.35">
      <c r="A16" s="5"/>
      <c r="B16" s="136" t="s">
        <v>185</v>
      </c>
      <c r="C16" s="133"/>
      <c r="D16" s="133"/>
      <c r="E16" s="137" t="s">
        <v>189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5" customHeight="1" x14ac:dyDescent="0.35">
      <c r="A17" s="5"/>
      <c r="B17" s="138"/>
      <c r="C17" s="133"/>
      <c r="D17" s="133"/>
      <c r="E17" s="137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5" customHeight="1" x14ac:dyDescent="0.35">
      <c r="A18" s="5"/>
      <c r="B18" s="136" t="s">
        <v>186</v>
      </c>
      <c r="C18" s="133"/>
      <c r="D18" s="133"/>
      <c r="E18" s="137" t="s">
        <v>190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5" customHeight="1" x14ac:dyDescent="0.35">
      <c r="A19" s="5"/>
      <c r="B19" s="138"/>
      <c r="C19" s="133"/>
      <c r="D19" s="133"/>
      <c r="E19" s="13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5" customHeight="1" x14ac:dyDescent="0.35">
      <c r="A20" s="5"/>
      <c r="B20" s="136" t="s">
        <v>187</v>
      </c>
      <c r="C20" s="133"/>
      <c r="D20" s="133"/>
      <c r="E20" s="137" t="s">
        <v>191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15" customHeight="1" x14ac:dyDescent="0.35">
      <c r="A21" s="5"/>
      <c r="B21" s="138"/>
      <c r="C21" s="133"/>
      <c r="D21" s="133"/>
      <c r="E21" s="13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15" customHeight="1" x14ac:dyDescent="0.35">
      <c r="A22" s="5"/>
      <c r="B22" s="136" t="s">
        <v>184</v>
      </c>
      <c r="C22" s="133"/>
      <c r="D22" s="133"/>
      <c r="E22" s="137" t="s">
        <v>192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15" customHeight="1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15" customHeight="1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19" customHeight="1" thickBot="1" x14ac:dyDescent="0.4">
      <c r="A25" s="5"/>
      <c r="B25" s="130" t="s">
        <v>195</v>
      </c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5"/>
      <c r="S25" s="5"/>
      <c r="T25" s="5"/>
      <c r="U25" s="5"/>
      <c r="V25" s="5"/>
      <c r="W25" s="5"/>
      <c r="X25" s="5"/>
    </row>
    <row r="26" spans="1:24" ht="15" thickTop="1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35">
      <c r="A27" s="5"/>
      <c r="B27" s="136" t="s">
        <v>193</v>
      </c>
      <c r="C27" s="5"/>
      <c r="D27" s="5"/>
      <c r="E27" s="137" t="s">
        <v>194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</sheetData>
  <mergeCells count="1">
    <mergeCell ref="B5:Q5"/>
  </mergeCells>
  <hyperlinks>
    <hyperlink ref="B22" location="'Ratio Analysis'!A1" display="Ratio Analysis" xr:uid="{8EA182CB-9DD5-4A67-B64B-4E1579D48841}"/>
    <hyperlink ref="B20" location="'Cash Flow St Analysis'!A1" display="Cash Flow St Analysis" xr:uid="{B7A0FE80-82E6-4B0A-81FE-592370F4F82B}"/>
    <hyperlink ref="B18" location="'Income Statement Analysis'!A1" display="Income Statement Analysis" xr:uid="{9258A438-4FB0-4A30-B1D8-D8C5B9A225DC}"/>
    <hyperlink ref="B16" location="'Balance Sheet Analysis'!A1" display="Balance Sheet Analysis" xr:uid="{1A301270-212E-47BD-8E98-AFD43CCEDC40}"/>
    <hyperlink ref="B27" location="'Dashboards Engine'!A1" display="Dashboard Engine:" xr:uid="{3CA194F2-BF16-427D-8C90-40846A87CA0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76D25-ECAA-4D51-87A9-0DBD041B847D}">
  <sheetPr codeName="Sheet2">
    <tabColor theme="4" tint="-0.499984740745262"/>
  </sheetPr>
  <dimension ref="A1"/>
  <sheetViews>
    <sheetView showGridLines="0"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7A3C8-2130-435D-8E42-530340E91727}">
  <sheetPr codeName="Sheet3"/>
  <dimension ref="A1:AH45"/>
  <sheetViews>
    <sheetView showGridLines="0" zoomScaleNormal="100" workbookViewId="0">
      <pane xSplit="21" ySplit="4" topLeftCell="V5" activePane="bottomRight" state="frozen"/>
      <selection pane="topRight" activeCell="V1" sqref="V1"/>
      <selection pane="bottomLeft" activeCell="A5" sqref="A5"/>
      <selection pane="bottomRight"/>
    </sheetView>
  </sheetViews>
  <sheetFormatPr defaultRowHeight="14.5" outlineLevelCol="1" x14ac:dyDescent="0.35"/>
  <cols>
    <col min="1" max="1" width="2.453125" style="5" customWidth="1" outlineLevel="1"/>
    <col min="2" max="2" width="58.26953125" style="5" customWidth="1" outlineLevel="1"/>
    <col min="3" max="7" width="9.54296875" style="5" customWidth="1" outlineLevel="1"/>
    <col min="8" max="8" width="2.1796875" style="5" customWidth="1" outlineLevel="1"/>
    <col min="9" max="9" width="9.54296875" style="5" customWidth="1" outlineLevel="1"/>
    <col min="10" max="10" width="2.90625" style="5" customWidth="1"/>
    <col min="11" max="15" width="9.54296875" style="5" hidden="1" customWidth="1" outlineLevel="1"/>
    <col min="16" max="16" width="2.90625" style="5" customWidth="1" collapsed="1"/>
    <col min="17" max="21" width="9.54296875" style="5" hidden="1" customWidth="1" outlineLevel="1"/>
    <col min="22" max="22" width="8.1796875" style="5" customWidth="1" collapsed="1"/>
    <col min="23" max="16384" width="8.7265625" style="5"/>
  </cols>
  <sheetData>
    <row r="1" spans="2:34" s="96" customFormat="1" ht="38" customHeight="1" x14ac:dyDescent="0.35">
      <c r="B1" s="94" t="s">
        <v>91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</row>
    <row r="3" spans="2:34" ht="16" customHeight="1" x14ac:dyDescent="0.35">
      <c r="B3" s="17" t="s">
        <v>86</v>
      </c>
      <c r="C3" s="18" t="s">
        <v>88</v>
      </c>
      <c r="D3" s="18"/>
      <c r="E3" s="18"/>
      <c r="F3" s="18"/>
      <c r="G3" s="18"/>
      <c r="H3" s="18"/>
      <c r="I3" s="18"/>
      <c r="J3" s="37"/>
      <c r="K3" s="18" t="s">
        <v>89</v>
      </c>
      <c r="L3" s="18"/>
      <c r="M3" s="18"/>
      <c r="N3" s="18"/>
      <c r="O3" s="18"/>
      <c r="P3" s="37"/>
      <c r="Q3" s="18" t="s">
        <v>90</v>
      </c>
      <c r="R3" s="18"/>
      <c r="S3" s="18"/>
      <c r="T3" s="18"/>
      <c r="U3" s="18"/>
    </row>
    <row r="4" spans="2:34" ht="17.5" customHeight="1" x14ac:dyDescent="0.35">
      <c r="B4" s="32" t="s">
        <v>52</v>
      </c>
      <c r="C4" s="33">
        <v>2020</v>
      </c>
      <c r="D4" s="33">
        <v>2021</v>
      </c>
      <c r="E4" s="33">
        <v>2022</v>
      </c>
      <c r="F4" s="33">
        <v>2023</v>
      </c>
      <c r="G4" s="33">
        <v>2024</v>
      </c>
      <c r="H4" s="33"/>
      <c r="I4" s="33"/>
      <c r="J4" s="38"/>
      <c r="K4" s="33">
        <v>2020</v>
      </c>
      <c r="L4" s="33">
        <v>2021</v>
      </c>
      <c r="M4" s="33">
        <v>2022</v>
      </c>
      <c r="N4" s="33">
        <v>2023</v>
      </c>
      <c r="O4" s="33">
        <v>2024</v>
      </c>
      <c r="P4" s="38"/>
      <c r="Q4" s="33">
        <v>2020</v>
      </c>
      <c r="R4" s="33">
        <v>2021</v>
      </c>
      <c r="S4" s="33">
        <v>2022</v>
      </c>
      <c r="T4" s="33">
        <v>2023</v>
      </c>
      <c r="U4" s="33">
        <v>2024</v>
      </c>
    </row>
    <row r="5" spans="2:34" x14ac:dyDescent="0.35">
      <c r="B5" s="6" t="s">
        <v>15</v>
      </c>
      <c r="C5" s="7"/>
      <c r="D5" s="7"/>
      <c r="E5" s="7"/>
      <c r="F5" s="7"/>
      <c r="G5" s="7"/>
      <c r="H5" s="7"/>
      <c r="I5" s="7"/>
      <c r="J5" s="7"/>
      <c r="P5" s="7"/>
    </row>
    <row r="6" spans="2:34" x14ac:dyDescent="0.35">
      <c r="B6" s="8" t="s">
        <v>16</v>
      </c>
      <c r="C6" s="7"/>
      <c r="D6" s="7"/>
      <c r="E6" s="7"/>
      <c r="F6" s="7"/>
      <c r="G6" s="7"/>
      <c r="H6" s="7"/>
      <c r="I6" s="7"/>
      <c r="J6" s="7"/>
      <c r="P6" s="7"/>
    </row>
    <row r="7" spans="2:34" x14ac:dyDescent="0.35">
      <c r="B7" s="9" t="s">
        <v>17</v>
      </c>
      <c r="C7" s="10">
        <v>9465</v>
      </c>
      <c r="D7" s="10">
        <v>17741</v>
      </c>
      <c r="E7" s="10">
        <v>14760</v>
      </c>
      <c r="F7" s="10">
        <v>8625</v>
      </c>
      <c r="G7" s="10">
        <v>9867</v>
      </c>
      <c r="H7" s="10"/>
      <c r="J7" s="39"/>
      <c r="K7" s="47">
        <v>1</v>
      </c>
      <c r="L7" s="20">
        <f>D7/C7</f>
        <v>1.874379292128896</v>
      </c>
      <c r="M7" s="20">
        <f t="shared" ref="M7:N7" si="0">E7/D7</f>
        <v>0.83197114029648833</v>
      </c>
      <c r="N7" s="20">
        <f t="shared" si="0"/>
        <v>0.58434959349593496</v>
      </c>
      <c r="O7" s="20">
        <f>G7/F7</f>
        <v>1.1439999999999999</v>
      </c>
      <c r="P7" s="39"/>
      <c r="Q7" s="24">
        <f>C7/$C$17</f>
        <v>4.0021987779868498E-2</v>
      </c>
      <c r="R7" s="24">
        <f>D7/$D$17</f>
        <v>7.0262499207908238E-2</v>
      </c>
      <c r="S7" s="24">
        <f>E7/$E$17</f>
        <v>6.0279343298211226E-2</v>
      </c>
      <c r="T7" s="24">
        <f>F7/$F$17</f>
        <v>3.5465075638268562E-2</v>
      </c>
      <c r="U7" s="24">
        <f>G7/$G$17</f>
        <v>3.9092864868719768E-2</v>
      </c>
    </row>
    <row r="8" spans="2:34" x14ac:dyDescent="0.35">
      <c r="B8" s="9" t="s">
        <v>18</v>
      </c>
      <c r="C8" s="10">
        <v>6284</v>
      </c>
      <c r="D8" s="10">
        <v>6516</v>
      </c>
      <c r="E8" s="10">
        <v>8280</v>
      </c>
      <c r="F8" s="10">
        <v>7933</v>
      </c>
      <c r="G8" s="10">
        <v>8796</v>
      </c>
      <c r="H8" s="10"/>
      <c r="J8" s="39"/>
      <c r="K8" s="47">
        <v>1</v>
      </c>
      <c r="L8" s="20">
        <f t="shared" ref="L8:L17" si="1">D8/C8</f>
        <v>1.0369191597708467</v>
      </c>
      <c r="M8" s="20">
        <f t="shared" ref="M8:M17" si="2">E8/D8</f>
        <v>1.270718232044199</v>
      </c>
      <c r="N8" s="20">
        <f t="shared" ref="N8:N17" si="3">F8/E8</f>
        <v>0.95809178743961354</v>
      </c>
      <c r="O8" s="20">
        <f t="shared" ref="O8:O17" si="4">G8/F8</f>
        <v>1.1087860834488843</v>
      </c>
      <c r="P8" s="39"/>
      <c r="Q8" s="24">
        <f>C8/$C$17</f>
        <v>2.6571386287236518E-2</v>
      </c>
      <c r="R8" s="24">
        <f t="shared" ref="R8:R16" si="5">D8/$D$17</f>
        <v>2.5806349407515368E-2</v>
      </c>
      <c r="S8" s="24">
        <f t="shared" ref="S8:S16" si="6">E8/$E$17</f>
        <v>3.3815241362411173E-2</v>
      </c>
      <c r="T8" s="24">
        <f t="shared" ref="T8:T16" si="7">F8/$F$17</f>
        <v>3.2619645801551828E-2</v>
      </c>
      <c r="U8" s="24">
        <f t="shared" ref="U8:U16" si="8">G8/$G$17</f>
        <v>3.4849583397715524E-2</v>
      </c>
    </row>
    <row r="9" spans="2:34" x14ac:dyDescent="0.35">
      <c r="B9" s="9" t="s">
        <v>19</v>
      </c>
      <c r="C9" s="10">
        <v>44435</v>
      </c>
      <c r="D9" s="10">
        <v>44949</v>
      </c>
      <c r="E9" s="10">
        <v>56511</v>
      </c>
      <c r="F9" s="10">
        <v>56576</v>
      </c>
      <c r="G9" s="10">
        <v>54892</v>
      </c>
      <c r="H9" s="10"/>
      <c r="J9" s="39"/>
      <c r="K9" s="47">
        <v>1</v>
      </c>
      <c r="L9" s="20">
        <f t="shared" si="1"/>
        <v>1.0115674580848431</v>
      </c>
      <c r="M9" s="20">
        <f t="shared" si="2"/>
        <v>1.2572248548354803</v>
      </c>
      <c r="N9" s="20">
        <f t="shared" si="3"/>
        <v>1.0011502185415229</v>
      </c>
      <c r="O9" s="20">
        <f t="shared" si="4"/>
        <v>0.97023472850678738</v>
      </c>
      <c r="P9" s="39"/>
      <c r="Q9" s="24">
        <f>C9/$C$17</f>
        <v>0.1878898073955052</v>
      </c>
      <c r="R9" s="24">
        <f t="shared" si="5"/>
        <v>0.17801866168176922</v>
      </c>
      <c r="S9" s="24">
        <f t="shared" si="6"/>
        <v>0.23078902229845627</v>
      </c>
      <c r="T9" s="24">
        <f t="shared" si="7"/>
        <v>0.23263444861573129</v>
      </c>
      <c r="U9" s="24">
        <f t="shared" si="8"/>
        <v>0.21748105182667127</v>
      </c>
    </row>
    <row r="10" spans="2:34" x14ac:dyDescent="0.35">
      <c r="B10" s="9" t="s">
        <v>20</v>
      </c>
      <c r="C10" s="10">
        <v>1622</v>
      </c>
      <c r="D10" s="10">
        <v>20861</v>
      </c>
      <c r="E10" s="10">
        <v>1519</v>
      </c>
      <c r="F10" s="10">
        <v>2521</v>
      </c>
      <c r="G10" s="10">
        <v>3322</v>
      </c>
      <c r="H10" s="10"/>
      <c r="J10" s="39"/>
      <c r="K10" s="47">
        <v>1</v>
      </c>
      <c r="L10" s="20">
        <f t="shared" si="1"/>
        <v>12.861282367447595</v>
      </c>
      <c r="M10" s="20">
        <f t="shared" si="2"/>
        <v>7.2815301279900296E-2</v>
      </c>
      <c r="N10" s="20">
        <f t="shared" si="3"/>
        <v>1.6596445029624753</v>
      </c>
      <c r="O10" s="20">
        <f t="shared" si="4"/>
        <v>1.3177310591035303</v>
      </c>
      <c r="P10" s="39"/>
      <c r="Q10" s="24">
        <f t="shared" ref="Q10:Q16" si="9">C10/$C$17</f>
        <v>6.8584959512886104E-3</v>
      </c>
      <c r="R10" s="24">
        <f t="shared" si="5"/>
        <v>8.2619130600088714E-2</v>
      </c>
      <c r="S10" s="24">
        <f t="shared" si="6"/>
        <v>6.2035448827901657E-3</v>
      </c>
      <c r="T10" s="24">
        <f t="shared" si="7"/>
        <v>1.0366081818443484E-2</v>
      </c>
      <c r="U10" s="24">
        <f t="shared" si="8"/>
        <v>1.3161700323693834E-2</v>
      </c>
    </row>
    <row r="11" spans="2:34" x14ac:dyDescent="0.35">
      <c r="B11" s="11" t="s">
        <v>21</v>
      </c>
      <c r="C11" s="10">
        <v>61806</v>
      </c>
      <c r="D11" s="10">
        <v>90067</v>
      </c>
      <c r="E11" s="10">
        <v>81070</v>
      </c>
      <c r="F11" s="10">
        <v>75655</v>
      </c>
      <c r="G11" s="10">
        <v>76877</v>
      </c>
      <c r="H11" s="10"/>
      <c r="J11" s="39"/>
      <c r="K11" s="47">
        <v>1</v>
      </c>
      <c r="L11" s="20">
        <f t="shared" si="1"/>
        <v>1.4572533410995696</v>
      </c>
      <c r="M11" s="20">
        <f t="shared" si="2"/>
        <v>0.90010769760289566</v>
      </c>
      <c r="N11" s="20">
        <f t="shared" si="3"/>
        <v>0.93320587146910072</v>
      </c>
      <c r="O11" s="20">
        <f t="shared" si="4"/>
        <v>1.0161522701738153</v>
      </c>
      <c r="P11" s="39"/>
      <c r="Q11" s="24">
        <f>C11/$C$17</f>
        <v>0.2613416774138988</v>
      </c>
      <c r="R11" s="24">
        <f t="shared" si="5"/>
        <v>0.35670664089728155</v>
      </c>
      <c r="S11" s="24">
        <f t="shared" si="6"/>
        <v>0.33108715184186882</v>
      </c>
      <c r="T11" s="24">
        <f t="shared" si="7"/>
        <v>0.31108525187399516</v>
      </c>
      <c r="U11" s="24">
        <f t="shared" si="8"/>
        <v>0.30458520041680037</v>
      </c>
    </row>
    <row r="12" spans="2:34" x14ac:dyDescent="0.35">
      <c r="B12" s="12" t="s">
        <v>22</v>
      </c>
      <c r="C12" s="10">
        <v>105208</v>
      </c>
      <c r="D12" s="10">
        <v>92201</v>
      </c>
      <c r="E12" s="10">
        <v>94515</v>
      </c>
      <c r="F12" s="10">
        <v>100760</v>
      </c>
      <c r="G12" s="10">
        <v>110810</v>
      </c>
      <c r="H12" s="10"/>
      <c r="J12" s="39"/>
      <c r="K12" s="47">
        <v>1</v>
      </c>
      <c r="L12" s="20">
        <f t="shared" si="1"/>
        <v>0.87636871720781695</v>
      </c>
      <c r="M12" s="20">
        <f t="shared" si="2"/>
        <v>1.0250973416774221</v>
      </c>
      <c r="N12" s="20">
        <f t="shared" si="3"/>
        <v>1.0660741681214623</v>
      </c>
      <c r="O12" s="20">
        <f t="shared" si="4"/>
        <v>1.0997419610956729</v>
      </c>
      <c r="P12" s="39"/>
      <c r="Q12" s="24">
        <f>C12/$C$17</f>
        <v>0.44486352777014315</v>
      </c>
      <c r="R12" s="24">
        <f t="shared" si="5"/>
        <v>0.36515825993283063</v>
      </c>
      <c r="S12" s="24">
        <f t="shared" si="6"/>
        <v>0.38599607939230579</v>
      </c>
      <c r="T12" s="24">
        <f t="shared" si="7"/>
        <v>0.41431432131152934</v>
      </c>
      <c r="U12" s="24">
        <f t="shared" si="8"/>
        <v>0.43902709598690959</v>
      </c>
    </row>
    <row r="13" spans="2:34" x14ac:dyDescent="0.35">
      <c r="B13" s="12" t="s">
        <v>23</v>
      </c>
      <c r="C13" s="10">
        <v>17424</v>
      </c>
      <c r="D13" s="10">
        <v>13642</v>
      </c>
      <c r="E13" s="10">
        <v>13758</v>
      </c>
      <c r="F13" s="10">
        <v>13555</v>
      </c>
      <c r="G13" s="10">
        <v>13673</v>
      </c>
      <c r="H13" s="10"/>
      <c r="J13" s="39"/>
      <c r="K13" s="47">
        <v>1</v>
      </c>
      <c r="L13" s="20">
        <f t="shared" si="1"/>
        <v>0.78294306703397609</v>
      </c>
      <c r="M13" s="20">
        <f t="shared" si="2"/>
        <v>1.0085031520304941</v>
      </c>
      <c r="N13" s="20">
        <f t="shared" si="3"/>
        <v>0.98524494839366183</v>
      </c>
      <c r="O13" s="20">
        <f t="shared" si="4"/>
        <v>1.0087052748063445</v>
      </c>
      <c r="P13" s="39"/>
      <c r="Q13" s="24">
        <f>C13/$C$17</f>
        <v>7.3675976236284066E-2</v>
      </c>
      <c r="R13" s="24">
        <f t="shared" si="5"/>
        <v>5.4028578670553197E-2</v>
      </c>
      <c r="S13" s="24">
        <f t="shared" si="6"/>
        <v>5.6187209017397696E-2</v>
      </c>
      <c r="T13" s="24">
        <f t="shared" si="7"/>
        <v>5.5736707278461493E-2</v>
      </c>
      <c r="U13" s="24">
        <f t="shared" si="8"/>
        <v>5.417216391507098E-2</v>
      </c>
    </row>
    <row r="14" spans="2:34" x14ac:dyDescent="0.35">
      <c r="B14" s="12" t="s">
        <v>24</v>
      </c>
      <c r="C14" s="10">
        <v>4417</v>
      </c>
      <c r="D14" s="10">
        <v>4005</v>
      </c>
      <c r="E14" s="10">
        <v>4351</v>
      </c>
      <c r="F14" s="10">
        <v>4919</v>
      </c>
      <c r="G14" s="10">
        <v>5855</v>
      </c>
      <c r="H14" s="10"/>
      <c r="J14" s="39"/>
      <c r="K14" s="47">
        <v>1</v>
      </c>
      <c r="L14" s="20">
        <f t="shared" si="1"/>
        <v>0.90672402082861669</v>
      </c>
      <c r="M14" s="20">
        <f t="shared" si="2"/>
        <v>1.0863920099875155</v>
      </c>
      <c r="N14" s="20">
        <f t="shared" si="3"/>
        <v>1.1305447023672719</v>
      </c>
      <c r="O14" s="20">
        <f t="shared" si="4"/>
        <v>1.1902825777597072</v>
      </c>
      <c r="P14" s="39"/>
      <c r="Q14" s="24">
        <f t="shared" si="9"/>
        <v>1.8676927630605297E-2</v>
      </c>
      <c r="R14" s="24">
        <f t="shared" si="5"/>
        <v>1.5861637412077814E-2</v>
      </c>
      <c r="S14" s="24">
        <f t="shared" si="6"/>
        <v>1.7769337580658337E-2</v>
      </c>
      <c r="T14" s="24">
        <f t="shared" si="7"/>
        <v>2.0226400819089052E-2</v>
      </c>
      <c r="U14" s="24">
        <f t="shared" si="8"/>
        <v>2.3197397770989583E-2</v>
      </c>
    </row>
    <row r="15" spans="2:34" x14ac:dyDescent="0.35">
      <c r="B15" s="12" t="s">
        <v>25</v>
      </c>
      <c r="C15" s="10">
        <v>31073</v>
      </c>
      <c r="D15" s="10">
        <v>28983</v>
      </c>
      <c r="E15" s="10">
        <v>29014</v>
      </c>
      <c r="F15" s="10">
        <v>28174</v>
      </c>
      <c r="G15" s="10">
        <v>28113</v>
      </c>
      <c r="H15" s="10"/>
      <c r="J15" s="39"/>
      <c r="K15" s="47">
        <v>1</v>
      </c>
      <c r="L15" s="20">
        <f t="shared" si="1"/>
        <v>0.93273903388794133</v>
      </c>
      <c r="M15" s="20">
        <f t="shared" si="2"/>
        <v>1.001069592519753</v>
      </c>
      <c r="N15" s="20">
        <f t="shared" si="3"/>
        <v>0.97104845936444473</v>
      </c>
      <c r="O15" s="20">
        <f t="shared" si="4"/>
        <v>0.99783488322566904</v>
      </c>
      <c r="P15" s="39"/>
      <c r="Q15" s="24">
        <f t="shared" si="9"/>
        <v>0.13138966997188101</v>
      </c>
      <c r="R15" s="24">
        <f t="shared" si="5"/>
        <v>0.11478597680755338</v>
      </c>
      <c r="S15" s="24">
        <f t="shared" si="6"/>
        <v>0.1184921996242751</v>
      </c>
      <c r="T15" s="24">
        <f t="shared" si="7"/>
        <v>0.11584846852551635</v>
      </c>
      <c r="U15" s="24">
        <f t="shared" si="8"/>
        <v>0.11138316712823744</v>
      </c>
    </row>
    <row r="16" spans="2:34" x14ac:dyDescent="0.35">
      <c r="B16" s="13" t="s">
        <v>26</v>
      </c>
      <c r="C16" s="14">
        <v>16567</v>
      </c>
      <c r="D16" s="14">
        <v>23598</v>
      </c>
      <c r="E16" s="14">
        <v>22152</v>
      </c>
      <c r="F16" s="14">
        <v>20134</v>
      </c>
      <c r="G16" s="14">
        <v>17071</v>
      </c>
      <c r="H16" s="10"/>
      <c r="J16" s="40"/>
      <c r="K16" s="47">
        <v>1</v>
      </c>
      <c r="L16" s="20">
        <f t="shared" si="1"/>
        <v>1.424397899438643</v>
      </c>
      <c r="M16" s="20">
        <f t="shared" si="2"/>
        <v>0.93872362064581749</v>
      </c>
      <c r="N16" s="20">
        <f t="shared" si="3"/>
        <v>0.90890213073311665</v>
      </c>
      <c r="O16" s="20">
        <f t="shared" si="4"/>
        <v>0.84786927585179295</v>
      </c>
      <c r="P16" s="40"/>
      <c r="Q16" s="24">
        <f t="shared" si="9"/>
        <v>7.0052220977187676E-2</v>
      </c>
      <c r="R16" s="24">
        <f t="shared" si="5"/>
        <v>9.3458906279703435E-2</v>
      </c>
      <c r="S16" s="24">
        <f t="shared" si="6"/>
        <v>9.0468022543494245E-2</v>
      </c>
      <c r="T16" s="24">
        <f t="shared" si="7"/>
        <v>8.2788850191408608E-2</v>
      </c>
      <c r="U16" s="24">
        <f t="shared" si="8"/>
        <v>6.7634974781991999E-2</v>
      </c>
      <c r="AH16" s="99" t="s">
        <v>143</v>
      </c>
    </row>
    <row r="17" spans="2:25" ht="15" thickBot="1" x14ac:dyDescent="0.4">
      <c r="B17" s="34" t="s">
        <v>27</v>
      </c>
      <c r="C17" s="35">
        <v>236495</v>
      </c>
      <c r="D17" s="35">
        <v>252496</v>
      </c>
      <c r="E17" s="35">
        <v>244860</v>
      </c>
      <c r="F17" s="35">
        <v>243197</v>
      </c>
      <c r="G17" s="35">
        <v>252399</v>
      </c>
      <c r="H17" s="10"/>
      <c r="J17" s="40"/>
      <c r="K17" s="48">
        <v>1</v>
      </c>
      <c r="L17" s="36">
        <f t="shared" si="1"/>
        <v>1.067658935706886</v>
      </c>
      <c r="M17" s="36">
        <f t="shared" si="2"/>
        <v>0.96975793675939426</v>
      </c>
      <c r="N17" s="36">
        <f t="shared" si="3"/>
        <v>0.99320836396308099</v>
      </c>
      <c r="O17" s="36">
        <f t="shared" si="4"/>
        <v>1.0378376377998084</v>
      </c>
      <c r="P17" s="40"/>
      <c r="Q17" s="48">
        <v>1</v>
      </c>
      <c r="R17" s="48">
        <v>1</v>
      </c>
      <c r="S17" s="48">
        <v>1</v>
      </c>
      <c r="T17" s="48">
        <v>1</v>
      </c>
      <c r="U17" s="48">
        <v>1</v>
      </c>
    </row>
    <row r="18" spans="2:25" x14ac:dyDescent="0.35">
      <c r="B18" s="7"/>
      <c r="C18" s="10"/>
      <c r="D18" s="10"/>
      <c r="E18" s="10"/>
      <c r="F18" s="10"/>
      <c r="G18" s="10"/>
      <c r="H18" s="10"/>
      <c r="I18" s="10"/>
      <c r="J18" s="39"/>
      <c r="K18" s="49"/>
      <c r="P18" s="39"/>
      <c r="Q18" s="25" t="b">
        <f>SUM(Q7:Q16)-Q11=Q17</f>
        <v>1</v>
      </c>
      <c r="R18" s="25" t="b">
        <f t="shared" ref="R18:U18" si="10">SUM(R7:R16)-R11=R17</f>
        <v>1</v>
      </c>
      <c r="S18" s="25" t="b">
        <f t="shared" si="10"/>
        <v>1</v>
      </c>
      <c r="T18" s="25" t="b">
        <f t="shared" si="10"/>
        <v>1</v>
      </c>
      <c r="U18" s="25" t="b">
        <f t="shared" si="10"/>
        <v>1</v>
      </c>
      <c r="Y18" s="85"/>
    </row>
    <row r="19" spans="2:25" x14ac:dyDescent="0.35">
      <c r="B19" s="7"/>
      <c r="C19" s="10"/>
      <c r="D19" s="10"/>
      <c r="E19" s="10"/>
      <c r="F19" s="10"/>
      <c r="G19" s="10"/>
      <c r="H19" s="10"/>
      <c r="I19" s="10"/>
      <c r="J19" s="39"/>
      <c r="K19" s="49"/>
      <c r="P19" s="39"/>
    </row>
    <row r="20" spans="2:25" x14ac:dyDescent="0.35">
      <c r="B20" s="6" t="s">
        <v>28</v>
      </c>
      <c r="C20" s="10"/>
      <c r="D20" s="10"/>
      <c r="E20" s="10"/>
      <c r="F20" s="10"/>
      <c r="G20" s="10"/>
      <c r="H20" s="10"/>
      <c r="I20" s="10"/>
      <c r="J20" s="39"/>
      <c r="K20" s="49"/>
      <c r="P20" s="39"/>
    </row>
    <row r="21" spans="2:25" x14ac:dyDescent="0.35">
      <c r="B21" s="8" t="s">
        <v>29</v>
      </c>
      <c r="C21" s="10"/>
      <c r="D21" s="10"/>
      <c r="E21" s="10"/>
      <c r="F21" s="10"/>
      <c r="G21" s="10"/>
      <c r="H21" s="10"/>
      <c r="I21" s="10"/>
      <c r="J21" s="39"/>
      <c r="K21" s="49"/>
      <c r="P21" s="39"/>
    </row>
    <row r="22" spans="2:25" x14ac:dyDescent="0.35">
      <c r="B22" s="9" t="s">
        <v>30</v>
      </c>
      <c r="C22" s="10">
        <v>575</v>
      </c>
      <c r="D22" s="10">
        <v>224</v>
      </c>
      <c r="E22" s="10">
        <v>410</v>
      </c>
      <c r="F22" s="10">
        <v>372</v>
      </c>
      <c r="G22" s="10">
        <v>878</v>
      </c>
      <c r="H22" s="10"/>
      <c r="J22" s="39"/>
      <c r="K22" s="47">
        <v>1</v>
      </c>
      <c r="L22" s="20">
        <f>D22/C22</f>
        <v>0.38956521739130434</v>
      </c>
      <c r="M22" s="20">
        <f t="shared" ref="M22:O22" si="11">E22/D22</f>
        <v>1.8303571428571428</v>
      </c>
      <c r="N22" s="20">
        <f t="shared" si="11"/>
        <v>0.90731707317073174</v>
      </c>
      <c r="O22" s="20">
        <f t="shared" si="11"/>
        <v>2.360215053763441</v>
      </c>
      <c r="P22" s="39"/>
      <c r="Q22" s="24">
        <f>C22/$C$44</f>
        <v>2.431341043151018E-3</v>
      </c>
      <c r="R22" s="24">
        <f>D22/$D$44</f>
        <v>8.8714276661808504E-4</v>
      </c>
      <c r="S22" s="24">
        <f>E22/$E$44</f>
        <v>1.6744262027280894E-3</v>
      </c>
      <c r="T22" s="24">
        <f>F22/$F$44</f>
        <v>1.5296241318766269E-3</v>
      </c>
      <c r="U22" s="24">
        <f>G22/$G$44</f>
        <v>3.4786191704404535E-3</v>
      </c>
    </row>
    <row r="23" spans="2:25" x14ac:dyDescent="0.35">
      <c r="B23" s="9" t="s">
        <v>31</v>
      </c>
      <c r="C23" s="10">
        <v>46973</v>
      </c>
      <c r="D23" s="10">
        <v>49141</v>
      </c>
      <c r="E23" s="10">
        <v>55261</v>
      </c>
      <c r="F23" s="10">
        <v>53742</v>
      </c>
      <c r="G23" s="10">
        <v>56812</v>
      </c>
      <c r="H23" s="10"/>
      <c r="J23" s="39"/>
      <c r="K23" s="47">
        <v>1</v>
      </c>
      <c r="L23" s="20">
        <f t="shared" ref="L23:L44" si="12">D23/C23</f>
        <v>1.0461541736742384</v>
      </c>
      <c r="M23" s="20">
        <f t="shared" ref="M23:M44" si="13">E23/D23</f>
        <v>1.1245395901589303</v>
      </c>
      <c r="N23" s="20">
        <f t="shared" ref="N23:N44" si="14">F23/E23</f>
        <v>0.97251226000253344</v>
      </c>
      <c r="O23" s="20">
        <f t="shared" ref="O23:O44" si="15">G23/F23</f>
        <v>1.0571247813628075</v>
      </c>
      <c r="P23" s="39"/>
      <c r="Q23" s="24">
        <f t="shared" ref="Q23:Q43" si="16">C23/$C$44</f>
        <v>0.1986215353390135</v>
      </c>
      <c r="R23" s="24">
        <f t="shared" ref="R23:R43" si="17">D23/$D$44</f>
        <v>0.19462090488562195</v>
      </c>
      <c r="S23" s="24">
        <f t="shared" ref="S23:S43" si="18">E23/$E$44</f>
        <v>0.22568406436330965</v>
      </c>
      <c r="T23" s="24">
        <f t="shared" ref="T23:T43" si="19">F23/$F$44</f>
        <v>0.22098134434224107</v>
      </c>
      <c r="U23" s="24">
        <f t="shared" ref="U23:U43" si="20">G23/$G$44</f>
        <v>0.22508805502398979</v>
      </c>
    </row>
    <row r="24" spans="2:25" x14ac:dyDescent="0.35">
      <c r="B24" s="9" t="s">
        <v>32</v>
      </c>
      <c r="C24" s="10">
        <v>22296</v>
      </c>
      <c r="D24" s="10">
        <v>37966</v>
      </c>
      <c r="E24" s="10">
        <v>26060</v>
      </c>
      <c r="F24" s="10">
        <v>31126</v>
      </c>
      <c r="G24" s="10">
        <v>28759</v>
      </c>
      <c r="H24" s="10"/>
      <c r="J24" s="39"/>
      <c r="K24" s="47">
        <v>1</v>
      </c>
      <c r="L24" s="20">
        <f t="shared" si="12"/>
        <v>1.7028166487262288</v>
      </c>
      <c r="M24" s="20">
        <f t="shared" si="13"/>
        <v>0.68640362429542223</v>
      </c>
      <c r="N24" s="20">
        <f t="shared" si="14"/>
        <v>1.1943975441289332</v>
      </c>
      <c r="O24" s="20">
        <f t="shared" si="15"/>
        <v>0.92395425046584845</v>
      </c>
      <c r="P24" s="39"/>
      <c r="Q24" s="24">
        <f t="shared" si="16"/>
        <v>9.4276834605382775E-2</v>
      </c>
      <c r="R24" s="24">
        <f t="shared" si="17"/>
        <v>0.15036277802420633</v>
      </c>
      <c r="S24" s="24">
        <f t="shared" si="18"/>
        <v>0.10642816303193661</v>
      </c>
      <c r="T24" s="24">
        <f t="shared" si="19"/>
        <v>0.12798677615266635</v>
      </c>
      <c r="U24" s="24">
        <f t="shared" si="20"/>
        <v>0.11394260674566857</v>
      </c>
    </row>
    <row r="25" spans="2:25" x14ac:dyDescent="0.35">
      <c r="B25" s="9" t="s">
        <v>33</v>
      </c>
      <c r="C25" s="10">
        <v>280</v>
      </c>
      <c r="D25" s="10">
        <v>242</v>
      </c>
      <c r="E25" s="10">
        <v>851</v>
      </c>
      <c r="F25" s="10">
        <v>727</v>
      </c>
      <c r="G25" s="10">
        <v>307</v>
      </c>
      <c r="H25" s="10"/>
      <c r="J25" s="39"/>
      <c r="K25" s="47">
        <v>1</v>
      </c>
      <c r="L25" s="20">
        <f t="shared" si="12"/>
        <v>0.86428571428571432</v>
      </c>
      <c r="M25" s="20">
        <f t="shared" si="13"/>
        <v>3.5165289256198347</v>
      </c>
      <c r="N25" s="20">
        <f t="shared" si="14"/>
        <v>0.85428907168037604</v>
      </c>
      <c r="O25" s="20">
        <f t="shared" si="15"/>
        <v>0.42228335625859698</v>
      </c>
      <c r="P25" s="39"/>
      <c r="Q25" s="24">
        <f t="shared" si="16"/>
        <v>1.1839573775344087E-3</v>
      </c>
      <c r="R25" s="24">
        <f t="shared" si="17"/>
        <v>9.5843102464989545E-4</v>
      </c>
      <c r="S25" s="24">
        <f t="shared" si="18"/>
        <v>3.4754553622478152E-3</v>
      </c>
      <c r="T25" s="24">
        <f t="shared" si="19"/>
        <v>2.9893460856836229E-3</v>
      </c>
      <c r="U25" s="24">
        <f t="shared" si="20"/>
        <v>1.2163281154045776E-3</v>
      </c>
    </row>
    <row r="26" spans="2:25" x14ac:dyDescent="0.35">
      <c r="B26" s="9" t="s">
        <v>34</v>
      </c>
      <c r="C26" s="10">
        <v>5362</v>
      </c>
      <c r="D26" s="10">
        <v>3115</v>
      </c>
      <c r="E26" s="10">
        <v>2803</v>
      </c>
      <c r="F26" s="10">
        <v>4191</v>
      </c>
      <c r="G26" s="10">
        <v>3447</v>
      </c>
      <c r="H26" s="10"/>
      <c r="J26" s="39"/>
      <c r="K26" s="47">
        <v>1</v>
      </c>
      <c r="L26" s="20">
        <f t="shared" si="12"/>
        <v>0.58093994778067881</v>
      </c>
      <c r="M26" s="20">
        <f t="shared" si="13"/>
        <v>0.89983948635634026</v>
      </c>
      <c r="N26" s="20">
        <f t="shared" si="14"/>
        <v>1.4951837317160186</v>
      </c>
      <c r="O26" s="20">
        <f t="shared" si="15"/>
        <v>0.82247673586256265</v>
      </c>
      <c r="P26" s="39"/>
      <c r="Q26" s="24">
        <f t="shared" si="16"/>
        <v>2.2672783779783927E-2</v>
      </c>
      <c r="R26" s="24">
        <f t="shared" si="17"/>
        <v>1.2336829098282745E-2</v>
      </c>
      <c r="S26" s="24">
        <f t="shared" si="18"/>
        <v>1.1447357673772768E-2</v>
      </c>
      <c r="T26" s="24">
        <f t="shared" si="19"/>
        <v>1.7232942840577803E-2</v>
      </c>
      <c r="U26" s="24">
        <f t="shared" si="20"/>
        <v>1.3656947927685925E-2</v>
      </c>
    </row>
    <row r="27" spans="2:25" x14ac:dyDescent="0.35">
      <c r="B27" s="9" t="s">
        <v>35</v>
      </c>
      <c r="C27" s="10">
        <v>1793</v>
      </c>
      <c r="D27" s="10">
        <v>1466</v>
      </c>
      <c r="E27" s="10">
        <v>1483</v>
      </c>
      <c r="F27" s="10">
        <v>1473</v>
      </c>
      <c r="G27" s="10">
        <v>1487</v>
      </c>
      <c r="H27" s="10"/>
      <c r="J27" s="39"/>
      <c r="K27" s="47">
        <v>1</v>
      </c>
      <c r="L27" s="20">
        <f t="shared" si="12"/>
        <v>0.81762409369771338</v>
      </c>
      <c r="M27" s="20">
        <f t="shared" si="13"/>
        <v>1.0115961800818554</v>
      </c>
      <c r="N27" s="20">
        <f t="shared" si="14"/>
        <v>0.99325691166554286</v>
      </c>
      <c r="O27" s="20">
        <f t="shared" si="15"/>
        <v>1.0095044127630686</v>
      </c>
      <c r="P27" s="39"/>
      <c r="Q27" s="24">
        <f t="shared" si="16"/>
        <v>7.5815556354256958E-3</v>
      </c>
      <c r="R27" s="24">
        <f t="shared" si="17"/>
        <v>5.8060325708130028E-3</v>
      </c>
      <c r="S27" s="24">
        <f t="shared" si="18"/>
        <v>6.0565220942579434E-3</v>
      </c>
      <c r="T27" s="24">
        <f t="shared" si="19"/>
        <v>6.056818135092127E-3</v>
      </c>
      <c r="U27" s="24">
        <f t="shared" si="20"/>
        <v>5.891465497089925E-3</v>
      </c>
    </row>
    <row r="28" spans="2:25" x14ac:dyDescent="0.35">
      <c r="B28" s="16" t="s">
        <v>36</v>
      </c>
      <c r="C28" s="14">
        <v>511</v>
      </c>
      <c r="D28" s="14">
        <v>491</v>
      </c>
      <c r="E28" s="14">
        <v>511</v>
      </c>
      <c r="F28" s="14">
        <v>567</v>
      </c>
      <c r="G28" s="14">
        <v>725</v>
      </c>
      <c r="H28" s="15"/>
      <c r="J28" s="40"/>
      <c r="K28" s="50">
        <v>1</v>
      </c>
      <c r="L28" s="21">
        <f t="shared" si="12"/>
        <v>0.96086105675146771</v>
      </c>
      <c r="M28" s="21">
        <f t="shared" si="13"/>
        <v>1.0407331975560081</v>
      </c>
      <c r="N28" s="21">
        <f t="shared" si="14"/>
        <v>1.1095890410958904</v>
      </c>
      <c r="O28" s="21">
        <f t="shared" si="15"/>
        <v>1.2786596119929454</v>
      </c>
      <c r="P28" s="40"/>
      <c r="Q28" s="24">
        <f t="shared" si="16"/>
        <v>2.1607222140002961E-3</v>
      </c>
      <c r="R28" s="24">
        <f t="shared" si="17"/>
        <v>1.944585260756606E-3</v>
      </c>
      <c r="S28" s="24">
        <f t="shared" si="18"/>
        <v>2.0869068038879362E-3</v>
      </c>
      <c r="T28" s="24">
        <f t="shared" si="19"/>
        <v>2.3314432332635681E-3</v>
      </c>
      <c r="U28" s="24">
        <f t="shared" si="20"/>
        <v>2.8724361031541332E-3</v>
      </c>
    </row>
    <row r="29" spans="2:25" x14ac:dyDescent="0.35">
      <c r="B29" s="8" t="s">
        <v>37</v>
      </c>
      <c r="C29" s="19">
        <v>77790</v>
      </c>
      <c r="D29" s="19">
        <v>92645</v>
      </c>
      <c r="E29" s="19">
        <v>87379</v>
      </c>
      <c r="F29" s="19">
        <v>92198</v>
      </c>
      <c r="G29" s="19">
        <v>92415</v>
      </c>
      <c r="H29" s="19"/>
      <c r="J29" s="39"/>
      <c r="K29" s="51">
        <v>1</v>
      </c>
      <c r="L29" s="22">
        <f t="shared" si="12"/>
        <v>1.1909628486952051</v>
      </c>
      <c r="M29" s="22">
        <f t="shared" si="13"/>
        <v>0.94315937179556375</v>
      </c>
      <c r="N29" s="22">
        <f t="shared" si="14"/>
        <v>1.0551505510477346</v>
      </c>
      <c r="O29" s="22">
        <f t="shared" si="15"/>
        <v>1.0023536302305907</v>
      </c>
      <c r="P29" s="39"/>
      <c r="Q29" s="29">
        <f t="shared" si="16"/>
        <v>0.32892872999429162</v>
      </c>
      <c r="R29" s="29">
        <f t="shared" si="17"/>
        <v>0.36691670363094858</v>
      </c>
      <c r="S29" s="29">
        <f t="shared" si="18"/>
        <v>0.35685289553214083</v>
      </c>
      <c r="T29" s="29">
        <f t="shared" si="19"/>
        <v>0.37910829492140119</v>
      </c>
      <c r="U29" s="29">
        <f>G29/$G$44</f>
        <v>0.36614645858343337</v>
      </c>
    </row>
    <row r="30" spans="2:25" x14ac:dyDescent="0.35">
      <c r="B30" s="12" t="s">
        <v>38</v>
      </c>
      <c r="C30" s="10">
        <v>43714</v>
      </c>
      <c r="D30" s="10">
        <v>41194</v>
      </c>
      <c r="E30" s="10">
        <v>34864</v>
      </c>
      <c r="F30" s="10">
        <v>34649</v>
      </c>
      <c r="G30" s="10">
        <v>36132</v>
      </c>
      <c r="H30" s="10"/>
      <c r="J30" s="39"/>
      <c r="K30" s="47">
        <v>1</v>
      </c>
      <c r="L30" s="20">
        <f t="shared" si="12"/>
        <v>0.94235256439584569</v>
      </c>
      <c r="M30" s="20">
        <f t="shared" si="13"/>
        <v>0.84633684517162688</v>
      </c>
      <c r="N30" s="20">
        <f t="shared" si="14"/>
        <v>0.99383318035796242</v>
      </c>
      <c r="O30" s="20">
        <f t="shared" si="15"/>
        <v>1.0428006580276488</v>
      </c>
      <c r="P30" s="39"/>
      <c r="Q30" s="24">
        <f t="shared" si="16"/>
        <v>0.18484111714835408</v>
      </c>
      <c r="R30" s="24">
        <f t="shared" si="17"/>
        <v>0.16314713896457766</v>
      </c>
      <c r="S30" s="24">
        <f t="shared" si="18"/>
        <v>0.14238340276076125</v>
      </c>
      <c r="T30" s="24">
        <f t="shared" si="19"/>
        <v>0.14247297458439043</v>
      </c>
      <c r="U30" s="24">
        <f t="shared" si="20"/>
        <v>0.14315429141953812</v>
      </c>
    </row>
    <row r="31" spans="2:25" x14ac:dyDescent="0.35">
      <c r="B31" s="12" t="s">
        <v>39</v>
      </c>
      <c r="C31" s="10">
        <v>16171</v>
      </c>
      <c r="D31" s="10">
        <v>12909</v>
      </c>
      <c r="E31" s="10">
        <v>13009</v>
      </c>
      <c r="F31" s="10">
        <v>12828</v>
      </c>
      <c r="G31" s="10">
        <v>12943</v>
      </c>
      <c r="H31" s="10"/>
      <c r="J31" s="39"/>
      <c r="K31" s="47">
        <v>1</v>
      </c>
      <c r="L31" s="20">
        <f t="shared" si="12"/>
        <v>0.79828087316801677</v>
      </c>
      <c r="M31" s="20">
        <f t="shared" si="13"/>
        <v>1.0077465334262918</v>
      </c>
      <c r="N31" s="20">
        <f t="shared" si="14"/>
        <v>0.98608655546160351</v>
      </c>
      <c r="O31" s="20">
        <f t="shared" si="15"/>
        <v>1.0089647645774869</v>
      </c>
      <c r="P31" s="39"/>
      <c r="Q31" s="24">
        <f t="shared" si="16"/>
        <v>6.8377766971817591E-2</v>
      </c>
      <c r="R31" s="24">
        <f t="shared" si="17"/>
        <v>5.1125562385146699E-2</v>
      </c>
      <c r="S31" s="24">
        <f t="shared" si="18"/>
        <v>5.3128318222657844E-2</v>
      </c>
      <c r="T31" s="24">
        <f t="shared" si="19"/>
        <v>5.274736119277787E-2</v>
      </c>
      <c r="U31" s="24">
        <f t="shared" si="20"/>
        <v>5.1279917907757162E-2</v>
      </c>
    </row>
    <row r="32" spans="2:25" x14ac:dyDescent="0.35">
      <c r="B32" s="12" t="s">
        <v>40</v>
      </c>
      <c r="C32" s="10">
        <v>4307</v>
      </c>
      <c r="D32" s="10">
        <v>3847</v>
      </c>
      <c r="E32" s="10">
        <v>4243</v>
      </c>
      <c r="F32" s="10">
        <v>4843</v>
      </c>
      <c r="G32" s="10">
        <v>5709</v>
      </c>
      <c r="H32" s="10"/>
      <c r="J32" s="39"/>
      <c r="K32" s="47">
        <v>1</v>
      </c>
      <c r="L32" s="20">
        <f t="shared" si="12"/>
        <v>0.89319712096586956</v>
      </c>
      <c r="M32" s="20">
        <f t="shared" si="13"/>
        <v>1.1029373537821678</v>
      </c>
      <c r="N32" s="20">
        <f t="shared" si="14"/>
        <v>1.1414093801555503</v>
      </c>
      <c r="O32" s="20">
        <f t="shared" si="15"/>
        <v>1.1788147842246541</v>
      </c>
      <c r="P32" s="39"/>
      <c r="Q32" s="24">
        <f t="shared" si="16"/>
        <v>1.8211801518002495E-2</v>
      </c>
      <c r="R32" s="24">
        <f t="shared" si="17"/>
        <v>1.5235884924909701E-2</v>
      </c>
      <c r="S32" s="24">
        <f t="shared" si="18"/>
        <v>1.7328269215061667E-2</v>
      </c>
      <c r="T32" s="24">
        <f t="shared" si="19"/>
        <v>1.9913896964189524E-2</v>
      </c>
      <c r="U32" s="24">
        <f t="shared" si="20"/>
        <v>2.2618948569526821E-2</v>
      </c>
    </row>
    <row r="33" spans="2:21" x14ac:dyDescent="0.35">
      <c r="B33" s="12" t="s">
        <v>41</v>
      </c>
      <c r="C33" s="10">
        <v>12961</v>
      </c>
      <c r="D33" s="10">
        <v>14370</v>
      </c>
      <c r="E33" s="10">
        <v>13474</v>
      </c>
      <c r="F33" s="10">
        <v>14688</v>
      </c>
      <c r="G33" s="10">
        <v>14629</v>
      </c>
      <c r="H33" s="10"/>
      <c r="J33" s="39"/>
      <c r="K33" s="47">
        <v>1</v>
      </c>
      <c r="L33" s="20">
        <f t="shared" si="12"/>
        <v>1.1087107476274978</v>
      </c>
      <c r="M33" s="20">
        <f t="shared" si="13"/>
        <v>0.93764787752261658</v>
      </c>
      <c r="N33" s="20">
        <f t="shared" si="14"/>
        <v>1.090099450794122</v>
      </c>
      <c r="O33" s="20">
        <f t="shared" si="15"/>
        <v>0.99598311546840956</v>
      </c>
      <c r="P33" s="39"/>
      <c r="Q33" s="24">
        <f t="shared" si="16"/>
        <v>5.4804541322226688E-2</v>
      </c>
      <c r="R33" s="24">
        <f t="shared" si="17"/>
        <v>5.691179266206197E-2</v>
      </c>
      <c r="S33" s="24">
        <f t="shared" si="18"/>
        <v>5.5027362574532383E-2</v>
      </c>
      <c r="T33" s="24">
        <f t="shared" si="19"/>
        <v>6.0395481852161002E-2</v>
      </c>
      <c r="U33" s="24">
        <f t="shared" si="20"/>
        <v>5.7959817590402495E-2</v>
      </c>
    </row>
    <row r="34" spans="2:21" x14ac:dyDescent="0.35">
      <c r="B34" s="8" t="s">
        <v>42</v>
      </c>
      <c r="C34" s="10"/>
      <c r="D34" s="10"/>
      <c r="E34" s="10"/>
      <c r="F34" s="10"/>
      <c r="G34" s="10"/>
      <c r="H34" s="10"/>
      <c r="I34" s="10"/>
      <c r="J34" s="39"/>
      <c r="K34" s="47"/>
      <c r="L34" s="20"/>
      <c r="M34" s="20"/>
      <c r="N34" s="20"/>
      <c r="O34" s="20"/>
      <c r="P34" s="39"/>
      <c r="Q34" s="24"/>
      <c r="R34" s="24"/>
      <c r="S34" s="24"/>
      <c r="T34" s="24"/>
      <c r="U34" s="24"/>
    </row>
    <row r="35" spans="2:21" x14ac:dyDescent="0.35">
      <c r="B35" s="12" t="s">
        <v>43</v>
      </c>
      <c r="C35" s="10"/>
      <c r="D35" s="10"/>
      <c r="E35" s="10"/>
      <c r="F35" s="10">
        <v>237</v>
      </c>
      <c r="G35" s="10">
        <v>222</v>
      </c>
      <c r="H35" s="10"/>
      <c r="J35" s="39"/>
      <c r="K35" s="47"/>
      <c r="L35" s="20"/>
      <c r="M35" s="20"/>
      <c r="N35" s="23">
        <v>1</v>
      </c>
      <c r="O35" s="20">
        <f t="shared" si="15"/>
        <v>0.93670886075949367</v>
      </c>
      <c r="P35" s="39"/>
      <c r="Q35" s="24"/>
      <c r="R35" s="24"/>
      <c r="S35" s="24"/>
      <c r="T35" s="24">
        <f>F35/$F$44</f>
        <v>9.7451860014720576E-4</v>
      </c>
      <c r="U35" s="24">
        <f t="shared" si="20"/>
        <v>8.7955974468995524E-4</v>
      </c>
    </row>
    <row r="36" spans="2:21" x14ac:dyDescent="0.35">
      <c r="B36" s="8" t="s">
        <v>44</v>
      </c>
      <c r="C36" s="10"/>
      <c r="D36" s="10"/>
      <c r="E36" s="10"/>
      <c r="F36" s="10"/>
      <c r="G36" s="10"/>
      <c r="H36" s="10"/>
      <c r="I36" s="10"/>
      <c r="J36" s="39"/>
      <c r="K36" s="47"/>
      <c r="L36" s="20"/>
      <c r="M36" s="20"/>
      <c r="N36" s="23"/>
      <c r="O36" s="20"/>
      <c r="P36" s="39"/>
      <c r="Q36" s="24"/>
      <c r="R36" s="24"/>
      <c r="S36" s="24"/>
      <c r="T36" s="24"/>
      <c r="U36" s="24"/>
    </row>
    <row r="37" spans="2:21" x14ac:dyDescent="0.35">
      <c r="B37" s="9" t="s">
        <v>45</v>
      </c>
      <c r="C37" s="10">
        <v>284</v>
      </c>
      <c r="D37" s="10">
        <v>282</v>
      </c>
      <c r="E37" s="10">
        <v>276</v>
      </c>
      <c r="F37" s="10">
        <v>808</v>
      </c>
      <c r="G37" s="10">
        <v>805</v>
      </c>
      <c r="H37" s="10"/>
      <c r="J37" s="39"/>
      <c r="K37" s="47">
        <v>1</v>
      </c>
      <c r="L37" s="20">
        <f t="shared" si="12"/>
        <v>0.99295774647887325</v>
      </c>
      <c r="M37" s="20">
        <f t="shared" si="13"/>
        <v>0.97872340425531912</v>
      </c>
      <c r="N37" s="20">
        <f t="shared" si="14"/>
        <v>2.9275362318840581</v>
      </c>
      <c r="O37" s="20">
        <f t="shared" si="15"/>
        <v>0.99628712871287128</v>
      </c>
      <c r="P37" s="39"/>
      <c r="Q37" s="24">
        <f t="shared" si="16"/>
        <v>1.200871054356329E-3</v>
      </c>
      <c r="R37" s="24">
        <f t="shared" si="17"/>
        <v>1.1168493758316963E-3</v>
      </c>
      <c r="S37" s="24">
        <f t="shared" si="18"/>
        <v>1.1271747120803724E-3</v>
      </c>
      <c r="T37" s="24">
        <f t="shared" si="19"/>
        <v>3.3224094047212753E-3</v>
      </c>
      <c r="U37" s="24">
        <f t="shared" si="20"/>
        <v>3.1893945697090719E-3</v>
      </c>
    </row>
    <row r="38" spans="2:21" x14ac:dyDescent="0.35">
      <c r="B38" s="9" t="s">
        <v>46</v>
      </c>
      <c r="C38" s="10">
        <v>3247</v>
      </c>
      <c r="D38" s="10">
        <v>3646</v>
      </c>
      <c r="E38" s="10">
        <v>4839</v>
      </c>
      <c r="F38" s="10">
        <v>4430</v>
      </c>
      <c r="G38" s="10">
        <v>4544</v>
      </c>
      <c r="H38" s="10"/>
      <c r="J38" s="39"/>
      <c r="K38" s="47">
        <v>1</v>
      </c>
      <c r="L38" s="20">
        <f t="shared" si="12"/>
        <v>1.1228826609177702</v>
      </c>
      <c r="M38" s="20">
        <f t="shared" si="13"/>
        <v>1.3272078990674712</v>
      </c>
      <c r="N38" s="20">
        <f t="shared" si="14"/>
        <v>0.91547840462905561</v>
      </c>
      <c r="O38" s="20">
        <f t="shared" si="15"/>
        <v>1.0257336343115124</v>
      </c>
      <c r="P38" s="39"/>
      <c r="Q38" s="24">
        <f t="shared" si="16"/>
        <v>1.3729677160193661E-2</v>
      </c>
      <c r="R38" s="24">
        <f t="shared" si="17"/>
        <v>1.4439832710221152E-2</v>
      </c>
      <c r="S38" s="24">
        <f t="shared" si="18"/>
        <v>1.9762313158539574E-2</v>
      </c>
      <c r="T38" s="24">
        <f t="shared" si="19"/>
        <v>1.8215685226380261E-2</v>
      </c>
      <c r="U38" s="24">
        <f t="shared" si="20"/>
        <v>1.8003240900320523E-2</v>
      </c>
    </row>
    <row r="39" spans="2:21" x14ac:dyDescent="0.35">
      <c r="B39" s="9" t="s">
        <v>47</v>
      </c>
      <c r="C39" s="10">
        <v>83943</v>
      </c>
      <c r="D39" s="10">
        <v>88763</v>
      </c>
      <c r="E39" s="10">
        <v>86904</v>
      </c>
      <c r="F39" s="10">
        <v>83135</v>
      </c>
      <c r="G39" s="10">
        <v>89814</v>
      </c>
      <c r="H39" s="10"/>
      <c r="J39" s="39"/>
      <c r="K39" s="47">
        <v>1</v>
      </c>
      <c r="L39" s="20">
        <f t="shared" si="12"/>
        <v>1.0574199158953099</v>
      </c>
      <c r="M39" s="20">
        <f t="shared" si="13"/>
        <v>0.97905658889402114</v>
      </c>
      <c r="N39" s="20">
        <f t="shared" si="14"/>
        <v>0.9566303047040412</v>
      </c>
      <c r="O39" s="20">
        <f t="shared" si="15"/>
        <v>1.0803392073134059</v>
      </c>
      <c r="P39" s="39"/>
      <c r="Q39" s="24">
        <f t="shared" si="16"/>
        <v>0.35494619336561029</v>
      </c>
      <c r="R39" s="24">
        <f t="shared" si="17"/>
        <v>0.35154220264875485</v>
      </c>
      <c r="S39" s="24">
        <f t="shared" si="18"/>
        <v>0.35491301151678512</v>
      </c>
      <c r="T39" s="24">
        <f t="shared" si="19"/>
        <v>0.34184221022463268</v>
      </c>
      <c r="U39" s="24">
        <f t="shared" si="20"/>
        <v>0.35584134643956594</v>
      </c>
    </row>
    <row r="40" spans="2:21" x14ac:dyDescent="0.35">
      <c r="B40" s="16" t="s">
        <v>48</v>
      </c>
      <c r="C40" s="14">
        <v>-12805</v>
      </c>
      <c r="D40" s="14">
        <v>-11766</v>
      </c>
      <c r="E40" s="14">
        <v>-8766</v>
      </c>
      <c r="F40" s="14">
        <v>-11680</v>
      </c>
      <c r="G40" s="14">
        <v>-11302</v>
      </c>
      <c r="H40" s="15"/>
      <c r="J40" s="40"/>
      <c r="K40" s="47">
        <v>1</v>
      </c>
      <c r="L40" s="20">
        <f t="shared" si="12"/>
        <v>0.91885982038266301</v>
      </c>
      <c r="M40" s="20">
        <f t="shared" si="13"/>
        <v>0.74502804691483937</v>
      </c>
      <c r="N40" s="20">
        <f t="shared" si="14"/>
        <v>1.3324207164042894</v>
      </c>
      <c r="O40" s="20">
        <f t="shared" si="15"/>
        <v>0.96763698630136985</v>
      </c>
      <c r="P40" s="40"/>
      <c r="Q40" s="24">
        <f t="shared" si="16"/>
        <v>-5.4144907926171798E-2</v>
      </c>
      <c r="R40" s="24">
        <f t="shared" si="17"/>
        <v>-4.6598758000126736E-2</v>
      </c>
      <c r="S40" s="24">
        <f t="shared" si="18"/>
        <v>-3.5800049007596174E-2</v>
      </c>
      <c r="T40" s="24">
        <f t="shared" si="19"/>
        <v>-4.8026908226663979E-2</v>
      </c>
      <c r="U40" s="24">
        <f t="shared" si="20"/>
        <v>-4.477830736254898E-2</v>
      </c>
    </row>
    <row r="41" spans="2:21" x14ac:dyDescent="0.35">
      <c r="B41" s="11" t="s">
        <v>105</v>
      </c>
      <c r="C41" s="19">
        <v>74669</v>
      </c>
      <c r="D41" s="19">
        <v>80925</v>
      </c>
      <c r="E41" s="19">
        <v>83253</v>
      </c>
      <c r="F41" s="19">
        <v>76693</v>
      </c>
      <c r="G41" s="19">
        <v>83861</v>
      </c>
      <c r="H41" s="19"/>
      <c r="J41" s="39"/>
      <c r="K41" s="52">
        <v>1</v>
      </c>
      <c r="L41" s="26">
        <f t="shared" si="12"/>
        <v>1.0837830960639623</v>
      </c>
      <c r="M41" s="26">
        <f t="shared" si="13"/>
        <v>1.0287673772011121</v>
      </c>
      <c r="N41" s="26">
        <f t="shared" si="14"/>
        <v>0.92120404069523021</v>
      </c>
      <c r="O41" s="26">
        <f t="shared" si="15"/>
        <v>1.0934635494764842</v>
      </c>
      <c r="P41" s="39"/>
      <c r="Q41" s="28">
        <f t="shared" si="16"/>
        <v>0.31573183365398844</v>
      </c>
      <c r="R41" s="28">
        <f t="shared" si="17"/>
        <v>0.32050012673468092</v>
      </c>
      <c r="S41" s="28">
        <f t="shared" si="18"/>
        <v>0.34000245037980886</v>
      </c>
      <c r="T41" s="28">
        <f t="shared" si="19"/>
        <v>0.31535339662907025</v>
      </c>
      <c r="U41" s="28">
        <f t="shared" si="20"/>
        <v>0.33225567454704652</v>
      </c>
    </row>
    <row r="42" spans="2:21" x14ac:dyDescent="0.35">
      <c r="B42" s="16" t="s">
        <v>49</v>
      </c>
      <c r="C42" s="14">
        <v>6883</v>
      </c>
      <c r="D42" s="14">
        <v>6606</v>
      </c>
      <c r="E42" s="14">
        <v>8638</v>
      </c>
      <c r="F42" s="14">
        <v>7061</v>
      </c>
      <c r="G42" s="14">
        <v>6488</v>
      </c>
      <c r="H42" s="15"/>
      <c r="J42" s="40"/>
      <c r="K42" s="47">
        <v>1</v>
      </c>
      <c r="L42" s="20">
        <f t="shared" si="12"/>
        <v>0.95975592038355373</v>
      </c>
      <c r="M42" s="20">
        <f t="shared" si="13"/>
        <v>1.3075991522858008</v>
      </c>
      <c r="N42" s="20">
        <f t="shared" si="14"/>
        <v>0.81743459134058805</v>
      </c>
      <c r="O42" s="20">
        <f t="shared" si="15"/>
        <v>0.91885002124344994</v>
      </c>
      <c r="P42" s="40"/>
      <c r="Q42" s="24">
        <f t="shared" si="16"/>
        <v>2.9104209391319056E-2</v>
      </c>
      <c r="R42" s="24">
        <f t="shared" si="17"/>
        <v>2.616279069767442E-2</v>
      </c>
      <c r="S42" s="24">
        <f t="shared" si="18"/>
        <v>3.5277301315037167E-2</v>
      </c>
      <c r="T42" s="24">
        <f t="shared" si="19"/>
        <v>2.9034075255862532E-2</v>
      </c>
      <c r="U42" s="24">
        <f t="shared" si="20"/>
        <v>2.5705331637605536E-2</v>
      </c>
    </row>
    <row r="43" spans="2:21" x14ac:dyDescent="0.35">
      <c r="B43" s="11" t="s">
        <v>50</v>
      </c>
      <c r="C43" s="19">
        <v>81552</v>
      </c>
      <c r="D43" s="19">
        <v>87531</v>
      </c>
      <c r="E43" s="19">
        <v>91891</v>
      </c>
      <c r="F43" s="19">
        <v>83754</v>
      </c>
      <c r="G43" s="19">
        <v>90349</v>
      </c>
      <c r="H43" s="19"/>
      <c r="J43" s="39"/>
      <c r="K43" s="53">
        <v>1</v>
      </c>
      <c r="L43" s="27">
        <f t="shared" si="12"/>
        <v>1.0733151854031784</v>
      </c>
      <c r="M43" s="27">
        <f t="shared" si="13"/>
        <v>1.0498109241297369</v>
      </c>
      <c r="N43" s="27">
        <f t="shared" si="14"/>
        <v>0.91144943465627759</v>
      </c>
      <c r="O43" s="27">
        <f t="shared" si="15"/>
        <v>1.0787425078205219</v>
      </c>
      <c r="P43" s="39"/>
      <c r="Q43" s="28">
        <f t="shared" si="16"/>
        <v>0.34483604304530752</v>
      </c>
      <c r="R43" s="28">
        <f t="shared" si="17"/>
        <v>0.34666291743235539</v>
      </c>
      <c r="S43" s="28">
        <f t="shared" si="18"/>
        <v>0.37527975169484601</v>
      </c>
      <c r="T43" s="28">
        <f t="shared" si="19"/>
        <v>0.34438747188493279</v>
      </c>
      <c r="U43" s="28">
        <f t="shared" si="20"/>
        <v>0.3579610061846521</v>
      </c>
    </row>
    <row r="44" spans="2:21" ht="15" thickBot="1" x14ac:dyDescent="0.4">
      <c r="B44" s="58" t="s">
        <v>51</v>
      </c>
      <c r="C44" s="59">
        <v>236495</v>
      </c>
      <c r="D44" s="59">
        <v>252496</v>
      </c>
      <c r="E44" s="59">
        <v>244860</v>
      </c>
      <c r="F44" s="59">
        <v>243197</v>
      </c>
      <c r="G44" s="59">
        <v>252399</v>
      </c>
      <c r="J44" s="40"/>
      <c r="K44" s="48">
        <v>1</v>
      </c>
      <c r="L44" s="36">
        <f t="shared" si="12"/>
        <v>1.067658935706886</v>
      </c>
      <c r="M44" s="36">
        <f t="shared" si="13"/>
        <v>0.96975793675939426</v>
      </c>
      <c r="N44" s="36">
        <f t="shared" si="14"/>
        <v>0.99320836396308099</v>
      </c>
      <c r="O44" s="36">
        <f t="shared" si="15"/>
        <v>1.0378376377998084</v>
      </c>
      <c r="P44" s="40"/>
      <c r="Q44" s="48">
        <v>1</v>
      </c>
      <c r="R44" s="48">
        <v>1</v>
      </c>
      <c r="S44" s="48">
        <v>1</v>
      </c>
      <c r="T44" s="48">
        <v>1</v>
      </c>
      <c r="U44" s="48">
        <v>1</v>
      </c>
    </row>
    <row r="45" spans="2:21" x14ac:dyDescent="0.35">
      <c r="Q45" s="81" t="b">
        <f>(SUM(Q22:Q43)-Q29-Q43-Q41)=Q44</f>
        <v>1</v>
      </c>
      <c r="R45" s="81" t="b">
        <f t="shared" ref="R45:U45" si="21">(SUM(R22:R43)-R29-R43-R41)=R44</f>
        <v>1</v>
      </c>
      <c r="S45" s="81" t="b">
        <f t="shared" si="21"/>
        <v>1</v>
      </c>
      <c r="T45" s="81" t="b">
        <f t="shared" si="21"/>
        <v>1</v>
      </c>
      <c r="U45" s="81" t="b">
        <f t="shared" si="21"/>
        <v>1</v>
      </c>
    </row>
  </sheetData>
  <hyperlinks>
    <hyperlink ref="AH16" location="'Ratio Analysis'!A1" display="view remaining ratios" xr:uid="{86FB3944-A3D9-4E88-9F01-73A9E07AAE5E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Option Button 1">
              <controlPr defaultSize="0" autoFill="0" autoLine="0" autoPict="0">
                <anchor moveWithCells="1">
                  <from>
                    <xdr:col>22</xdr:col>
                    <xdr:colOff>19050</xdr:colOff>
                    <xdr:row>1</xdr:row>
                    <xdr:rowOff>76200</xdr:rowOff>
                  </from>
                  <to>
                    <xdr:col>23</xdr:col>
                    <xdr:colOff>596900</xdr:colOff>
                    <xdr:row>3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24</xdr:col>
                    <xdr:colOff>241300</xdr:colOff>
                    <xdr:row>1</xdr:row>
                    <xdr:rowOff>76200</xdr:rowOff>
                  </from>
                  <to>
                    <xdr:col>26</xdr:col>
                    <xdr:colOff>215900</xdr:colOff>
                    <xdr:row>3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26</xdr:col>
                    <xdr:colOff>463550</xdr:colOff>
                    <xdr:row>1</xdr:row>
                    <xdr:rowOff>76200</xdr:rowOff>
                  </from>
                  <to>
                    <xdr:col>28</xdr:col>
                    <xdr:colOff>425450</xdr:colOff>
                    <xdr:row>3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Option Button 4">
              <controlPr defaultSize="0" autoFill="0" autoLine="0" autoPict="0">
                <anchor moveWithCells="1">
                  <from>
                    <xdr:col>29</xdr:col>
                    <xdr:colOff>63500</xdr:colOff>
                    <xdr:row>1</xdr:row>
                    <xdr:rowOff>76200</xdr:rowOff>
                  </from>
                  <to>
                    <xdr:col>31</xdr:col>
                    <xdr:colOff>38100</xdr:colOff>
                    <xdr:row>3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Option Button 5">
              <controlPr defaultSize="0" autoFill="0" autoLine="0" autoPict="0">
                <anchor moveWithCells="1">
                  <from>
                    <xdr:col>31</xdr:col>
                    <xdr:colOff>285750</xdr:colOff>
                    <xdr:row>1</xdr:row>
                    <xdr:rowOff>76200</xdr:rowOff>
                  </from>
                  <to>
                    <xdr:col>33</xdr:col>
                    <xdr:colOff>254000</xdr:colOff>
                    <xdr:row>3</xdr:row>
                    <xdr:rowOff>101600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4A7A39AC-D081-443A-94A6-B3BBB7F2D2DE}">
          <x14:colorSeries theme="6" tint="0.39997558519241921"/>
          <x14:colorNegative theme="0" tint="-0.499984740745262"/>
          <x14:colorAxis rgb="FF000000"/>
          <x14:colorMarkers theme="6" tint="0.79998168889431442"/>
          <x14:colorFirst theme="6" tint="-0.249977111117893"/>
          <x14:colorLast theme="6" tint="-0.249977111117893"/>
          <x14:colorHigh theme="6" tint="-0.499984740745262"/>
          <x14:colorLow theme="6" tint="-0.499984740745262"/>
          <x14:sparklines>
            <x14:sparkline>
              <xm:f>'Balance Sheet Analysis'!C7:G7</xm:f>
              <xm:sqref>I7</xm:sqref>
            </x14:sparkline>
            <x14:sparkline>
              <xm:f>'Balance Sheet Analysis'!C8:G8</xm:f>
              <xm:sqref>I8</xm:sqref>
            </x14:sparkline>
            <x14:sparkline>
              <xm:f>'Balance Sheet Analysis'!C9:G9</xm:f>
              <xm:sqref>I9</xm:sqref>
            </x14:sparkline>
            <x14:sparkline>
              <xm:f>'Balance Sheet Analysis'!C10:G10</xm:f>
              <xm:sqref>I10</xm:sqref>
            </x14:sparkline>
            <x14:sparkline>
              <xm:f>'Balance Sheet Analysis'!C11:G11</xm:f>
              <xm:sqref>I11</xm:sqref>
            </x14:sparkline>
            <x14:sparkline>
              <xm:f>'Balance Sheet Analysis'!C12:G12</xm:f>
              <xm:sqref>I12</xm:sqref>
            </x14:sparkline>
            <x14:sparkline>
              <xm:f>'Balance Sheet Analysis'!C13:G13</xm:f>
              <xm:sqref>I13</xm:sqref>
            </x14:sparkline>
            <x14:sparkline>
              <xm:f>'Balance Sheet Analysis'!C14:G14</xm:f>
              <xm:sqref>I14</xm:sqref>
            </x14:sparkline>
            <x14:sparkline>
              <xm:f>'Balance Sheet Analysis'!C15:G15</xm:f>
              <xm:sqref>I15</xm:sqref>
            </x14:sparkline>
            <x14:sparkline>
              <xm:f>'Balance Sheet Analysis'!C16:G16</xm:f>
              <xm:sqref>I16</xm:sqref>
            </x14:sparkline>
            <x14:sparkline>
              <xm:f>'Balance Sheet Analysis'!C17:G17</xm:f>
              <xm:sqref>I17</xm:sqref>
            </x14:sparkline>
          </x14:sparklines>
        </x14:sparklineGroup>
        <x14:sparklineGroup type="column" displayEmptyCellsAs="gap" high="1" xr2:uid="{123C904E-8EAC-4ABE-AA15-C72146A9C53D}">
          <x14:colorSeries theme="5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'Balance Sheet Analysis'!C22:G22</xm:f>
              <xm:sqref>I22</xm:sqref>
            </x14:sparkline>
            <x14:sparkline>
              <xm:f>'Balance Sheet Analysis'!C23:G23</xm:f>
              <xm:sqref>I23</xm:sqref>
            </x14:sparkline>
            <x14:sparkline>
              <xm:f>'Balance Sheet Analysis'!C24:G24</xm:f>
              <xm:sqref>I24</xm:sqref>
            </x14:sparkline>
            <x14:sparkline>
              <xm:f>'Balance Sheet Analysis'!C25:G25</xm:f>
              <xm:sqref>I25</xm:sqref>
            </x14:sparkline>
            <x14:sparkline>
              <xm:f>'Balance Sheet Analysis'!C26:G26</xm:f>
              <xm:sqref>I26</xm:sqref>
            </x14:sparkline>
            <x14:sparkline>
              <xm:f>'Balance Sheet Analysis'!C27:G27</xm:f>
              <xm:sqref>I27</xm:sqref>
            </x14:sparkline>
            <x14:sparkline>
              <xm:f>'Balance Sheet Analysis'!C28:G28</xm:f>
              <xm:sqref>I28</xm:sqref>
            </x14:sparkline>
            <x14:sparkline>
              <xm:f>'Balance Sheet Analysis'!C29:G29</xm:f>
              <xm:sqref>I29</xm:sqref>
            </x14:sparkline>
            <x14:sparkline>
              <xm:f>'Balance Sheet Analysis'!C30:G30</xm:f>
              <xm:sqref>I30</xm:sqref>
            </x14:sparkline>
            <x14:sparkline>
              <xm:f>'Balance Sheet Analysis'!C31:G31</xm:f>
              <xm:sqref>I31</xm:sqref>
            </x14:sparkline>
            <x14:sparkline>
              <xm:f>'Balance Sheet Analysis'!C32:G32</xm:f>
              <xm:sqref>I32</xm:sqref>
            </x14:sparkline>
            <x14:sparkline>
              <xm:f>'Balance Sheet Analysis'!C33:G33</xm:f>
              <xm:sqref>I33</xm:sqref>
            </x14:sparkline>
          </x14:sparklines>
        </x14:sparklineGroup>
        <x14:sparklineGroup type="column" displayEmptyCellsAs="gap" high="1" xr2:uid="{18DFED22-A2EE-44F9-B0FA-AA860E83C15E}">
          <x14:colorSeries theme="5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'Balance Sheet Analysis'!C35:G35</xm:f>
              <xm:sqref>I35</xm:sqref>
            </x14:sparkline>
          </x14:sparklines>
        </x14:sparklineGroup>
        <x14:sparklineGroup type="column" displayEmptyCellsAs="gap" high="1" xr2:uid="{D79107C7-1837-4CB0-9495-BDF419B019BC}">
          <x14:colorSeries theme="5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'Balance Sheet Analysis'!C37:G37</xm:f>
              <xm:sqref>I37</xm:sqref>
            </x14:sparkline>
            <x14:sparkline>
              <xm:f>'Balance Sheet Analysis'!C38:G38</xm:f>
              <xm:sqref>I38</xm:sqref>
            </x14:sparkline>
            <x14:sparkline>
              <xm:f>'Balance Sheet Analysis'!C39:G39</xm:f>
              <xm:sqref>I39</xm:sqref>
            </x14:sparkline>
            <x14:sparkline>
              <xm:f>'Balance Sheet Analysis'!C40:G40</xm:f>
              <xm:sqref>I40</xm:sqref>
            </x14:sparkline>
            <x14:sparkline>
              <xm:f>'Balance Sheet Analysis'!C41:G41</xm:f>
              <xm:sqref>I41</xm:sqref>
            </x14:sparkline>
            <x14:sparkline>
              <xm:f>'Balance Sheet Analysis'!C42:G42</xm:f>
              <xm:sqref>I42</xm:sqref>
            </x14:sparkline>
            <x14:sparkline>
              <xm:f>'Balance Sheet Analysis'!C43:G43</xm:f>
              <xm:sqref>I43</xm:sqref>
            </x14:sparkline>
            <x14:sparkline>
              <xm:f>'Balance Sheet Analysis'!C44:G44</xm:f>
              <xm:sqref>I44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A3D8A-5B08-4B65-A851-AC8E4620B511}">
  <sheetPr codeName="Sheet4"/>
  <dimension ref="A1:X33"/>
  <sheetViews>
    <sheetView showGridLines="0" zoomScaleNormal="100" workbookViewId="0">
      <pane xSplit="21" ySplit="4" topLeftCell="V5" activePane="bottomRight" state="frozen"/>
      <selection pane="topRight" activeCell="V1" sqref="V1"/>
      <selection pane="bottomLeft" activeCell="A5" sqref="A5"/>
      <selection pane="bottomRight"/>
    </sheetView>
  </sheetViews>
  <sheetFormatPr defaultRowHeight="14.5" outlineLevelCol="1" x14ac:dyDescent="0.35"/>
  <cols>
    <col min="1" max="1" width="2.453125" style="5" customWidth="1" outlineLevel="1"/>
    <col min="2" max="2" width="61.1796875" style="5" customWidth="1" outlineLevel="1"/>
    <col min="3" max="7" width="9.54296875" style="5" customWidth="1" outlineLevel="1"/>
    <col min="8" max="8" width="2.1796875" style="5" customWidth="1" outlineLevel="1"/>
    <col min="9" max="9" width="9.54296875" style="5" customWidth="1" outlineLevel="1"/>
    <col min="10" max="10" width="2.90625" style="5" customWidth="1"/>
    <col min="11" max="15" width="9.54296875" style="5" hidden="1" customWidth="1" outlineLevel="1"/>
    <col min="16" max="16" width="2.90625" style="5" customWidth="1" collapsed="1"/>
    <col min="17" max="21" width="9.54296875" style="5" hidden="1" customWidth="1" outlineLevel="1"/>
    <col min="22" max="22" width="8.7265625" style="5" collapsed="1"/>
    <col min="23" max="23" width="8.7265625" style="5"/>
    <col min="24" max="24" width="10" style="5" customWidth="1"/>
    <col min="25" max="16384" width="8.7265625" style="5"/>
  </cols>
  <sheetData>
    <row r="1" spans="2:24" s="96" customFormat="1" ht="39" customHeight="1" x14ac:dyDescent="0.35">
      <c r="B1" s="94" t="s">
        <v>92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</row>
    <row r="2" spans="2:24" ht="16.5" customHeight="1" x14ac:dyDescent="0.35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2:24" x14ac:dyDescent="0.35">
      <c r="B3" s="17" t="s">
        <v>86</v>
      </c>
      <c r="C3" s="18" t="s">
        <v>202</v>
      </c>
      <c r="D3" s="18"/>
      <c r="E3" s="18"/>
      <c r="F3" s="18"/>
      <c r="G3" s="18"/>
      <c r="H3" s="18"/>
      <c r="I3" s="18"/>
      <c r="J3" s="37"/>
      <c r="K3" s="18" t="s">
        <v>89</v>
      </c>
      <c r="L3" s="18"/>
      <c r="M3" s="18"/>
      <c r="N3" s="18"/>
      <c r="O3" s="18"/>
      <c r="P3" s="37"/>
      <c r="Q3" s="18" t="s">
        <v>90</v>
      </c>
      <c r="R3" s="18"/>
      <c r="S3" s="18"/>
      <c r="T3" s="18"/>
      <c r="U3" s="18"/>
    </row>
    <row r="4" spans="2:24" x14ac:dyDescent="0.35">
      <c r="B4" s="32" t="s">
        <v>0</v>
      </c>
      <c r="C4" s="33">
        <v>2020</v>
      </c>
      <c r="D4" s="33">
        <v>2021</v>
      </c>
      <c r="E4" s="33">
        <v>2022</v>
      </c>
      <c r="F4" s="33">
        <v>2023</v>
      </c>
      <c r="G4" s="33">
        <v>2024</v>
      </c>
      <c r="H4" s="33"/>
      <c r="I4" s="33"/>
      <c r="J4" s="38"/>
      <c r="K4" s="33">
        <v>2020</v>
      </c>
      <c r="L4" s="33">
        <v>2021</v>
      </c>
      <c r="M4" s="33">
        <v>2022</v>
      </c>
      <c r="N4" s="33">
        <v>2023</v>
      </c>
      <c r="O4" s="33">
        <v>2024</v>
      </c>
      <c r="P4" s="38"/>
      <c r="Q4" s="33">
        <v>2020</v>
      </c>
      <c r="R4" s="33">
        <v>2021</v>
      </c>
      <c r="S4" s="33">
        <v>2022</v>
      </c>
      <c r="T4" s="33">
        <v>2023</v>
      </c>
      <c r="U4" s="33">
        <v>2024</v>
      </c>
    </row>
    <row r="5" spans="2:24" x14ac:dyDescent="0.35">
      <c r="B5" s="8" t="s">
        <v>1</v>
      </c>
      <c r="C5" s="10"/>
      <c r="D5" s="10"/>
      <c r="E5" s="10"/>
      <c r="F5" s="10"/>
      <c r="G5" s="10"/>
      <c r="H5" s="10"/>
      <c r="I5" s="10"/>
    </row>
    <row r="6" spans="2:24" x14ac:dyDescent="0.35">
      <c r="B6" s="41" t="s">
        <v>2</v>
      </c>
      <c r="C6" s="10">
        <v>519926</v>
      </c>
      <c r="D6" s="10">
        <v>555233</v>
      </c>
      <c r="E6" s="10">
        <v>567762</v>
      </c>
      <c r="F6" s="10">
        <v>605881</v>
      </c>
      <c r="G6" s="10">
        <v>642637</v>
      </c>
      <c r="H6" s="10"/>
      <c r="I6" s="10"/>
      <c r="K6" s="47">
        <v>1</v>
      </c>
      <c r="L6" s="24">
        <f>D6/C6</f>
        <v>1.0679077407169482</v>
      </c>
      <c r="M6" s="24">
        <f t="shared" ref="M6:N6" si="0">E6/D6</f>
        <v>1.022565301414001</v>
      </c>
      <c r="N6" s="24">
        <f t="shared" si="0"/>
        <v>1.0671390476995644</v>
      </c>
      <c r="O6" s="24">
        <f>G6/F6</f>
        <v>1.060665378184825</v>
      </c>
      <c r="Q6" s="24">
        <f>C6/$C$8</f>
        <v>0.99229336366620613</v>
      </c>
      <c r="R6" s="24">
        <f>D6/$D$8</f>
        <v>0.99299294823759587</v>
      </c>
      <c r="S6" s="24">
        <f>E6/$E$8</f>
        <v>0.99128421626038399</v>
      </c>
      <c r="T6" s="24">
        <f>F6/$F$8</f>
        <v>0.99115312070068329</v>
      </c>
      <c r="U6" s="24">
        <f>G6/$G$8</f>
        <v>0.99153249758919959</v>
      </c>
    </row>
    <row r="7" spans="2:24" x14ac:dyDescent="0.35">
      <c r="B7" s="41" t="s">
        <v>3</v>
      </c>
      <c r="C7" s="10">
        <v>4038</v>
      </c>
      <c r="D7" s="10">
        <v>3918</v>
      </c>
      <c r="E7" s="10">
        <v>4992</v>
      </c>
      <c r="F7" s="10">
        <v>5408</v>
      </c>
      <c r="G7" s="10">
        <v>5488</v>
      </c>
      <c r="H7" s="10"/>
      <c r="I7" s="10"/>
      <c r="K7" s="47">
        <v>1</v>
      </c>
      <c r="L7" s="24">
        <f t="shared" ref="L7:L30" si="1">D7/C7</f>
        <v>0.97028231797919762</v>
      </c>
      <c r="M7" s="24">
        <f t="shared" ref="M7:M31" si="2">E7/D7</f>
        <v>1.2741194486983154</v>
      </c>
      <c r="N7" s="24">
        <f t="shared" ref="N7:N31" si="3">F7/E7</f>
        <v>1.0833333333333333</v>
      </c>
      <c r="O7" s="24">
        <f t="shared" ref="O7:O31" si="4">G7/F7</f>
        <v>1.014792899408284</v>
      </c>
      <c r="Q7" s="24">
        <f t="shared" ref="Q7:Q30" si="5">C7/$C$8</f>
        <v>7.706636333793925E-3</v>
      </c>
      <c r="R7" s="24">
        <f t="shared" ref="R7:R31" si="6">D7/$D$8</f>
        <v>7.0070517624040733E-3</v>
      </c>
      <c r="S7" s="24">
        <f t="shared" ref="S7:S31" si="7">E7/$E$8</f>
        <v>8.71578373961596E-3</v>
      </c>
      <c r="T7" s="24">
        <f t="shared" ref="T7:T31" si="8">F7/$F$8</f>
        <v>8.8468792993166897E-3</v>
      </c>
      <c r="U7" s="24">
        <f t="shared" ref="U7:U31" si="9">G7/$G$8</f>
        <v>8.467502410800385E-3</v>
      </c>
    </row>
    <row r="8" spans="2:24" x14ac:dyDescent="0.35">
      <c r="B8" s="42" t="s">
        <v>4</v>
      </c>
      <c r="C8" s="43">
        <v>523964</v>
      </c>
      <c r="D8" s="43">
        <v>559151</v>
      </c>
      <c r="E8" s="43">
        <v>572754</v>
      </c>
      <c r="F8" s="43">
        <v>611289</v>
      </c>
      <c r="G8" s="43">
        <v>648125</v>
      </c>
      <c r="H8" s="61"/>
      <c r="I8" s="10"/>
      <c r="K8" s="50">
        <v>1</v>
      </c>
      <c r="L8" s="56">
        <f t="shared" si="1"/>
        <v>1.0671553770869755</v>
      </c>
      <c r="M8" s="56">
        <f t="shared" si="2"/>
        <v>1.0243279543450696</v>
      </c>
      <c r="N8" s="56">
        <f t="shared" si="3"/>
        <v>1.0672801935909657</v>
      </c>
      <c r="O8" s="56">
        <f t="shared" si="4"/>
        <v>1.0602595499019285</v>
      </c>
      <c r="Q8" s="57">
        <f t="shared" si="5"/>
        <v>1</v>
      </c>
      <c r="R8" s="57">
        <f t="shared" si="6"/>
        <v>1</v>
      </c>
      <c r="S8" s="57">
        <f t="shared" si="7"/>
        <v>1</v>
      </c>
      <c r="T8" s="57">
        <f t="shared" si="8"/>
        <v>1</v>
      </c>
      <c r="U8" s="57">
        <f t="shared" si="9"/>
        <v>1</v>
      </c>
    </row>
    <row r="9" spans="2:24" x14ac:dyDescent="0.35">
      <c r="B9" s="8" t="s">
        <v>5</v>
      </c>
      <c r="C9" s="10"/>
      <c r="D9" s="10"/>
      <c r="E9" s="10"/>
      <c r="F9" s="10"/>
      <c r="G9" s="10"/>
      <c r="H9" s="10"/>
      <c r="I9" s="10"/>
      <c r="K9" s="47"/>
      <c r="L9" s="24"/>
      <c r="M9" s="24"/>
      <c r="N9" s="24"/>
      <c r="O9" s="24"/>
      <c r="Q9" s="24"/>
      <c r="R9" s="24"/>
      <c r="S9" s="24"/>
      <c r="T9" s="24"/>
      <c r="U9" s="24"/>
    </row>
    <row r="10" spans="2:24" x14ac:dyDescent="0.35">
      <c r="B10" s="41" t="s">
        <v>99</v>
      </c>
      <c r="C10" s="101">
        <v>-383600</v>
      </c>
      <c r="D10" s="101">
        <v>-409160</v>
      </c>
      <c r="E10" s="101">
        <v>-418300</v>
      </c>
      <c r="F10" s="101">
        <v>-452780</v>
      </c>
      <c r="G10" s="101">
        <v>-478200</v>
      </c>
      <c r="H10" s="65"/>
      <c r="I10" s="10"/>
      <c r="K10" s="47">
        <v>1</v>
      </c>
      <c r="L10" s="24">
        <f>D10/C10</f>
        <v>1.0666319082377476</v>
      </c>
      <c r="M10" s="24">
        <f t="shared" ref="M10:O10" si="10">E10/D10</f>
        <v>1.0223384495063057</v>
      </c>
      <c r="N10" s="24">
        <f t="shared" si="10"/>
        <v>1.0824288787951231</v>
      </c>
      <c r="O10" s="24">
        <f t="shared" si="10"/>
        <v>1.0561420557445116</v>
      </c>
      <c r="Q10" s="24">
        <f t="shared" si="5"/>
        <v>-0.73211136642975472</v>
      </c>
      <c r="R10" s="24">
        <f t="shared" ref="R10:U10" si="11">D10/$C$8</f>
        <v>-0.78089334381751419</v>
      </c>
      <c r="S10" s="24">
        <f t="shared" si="11"/>
        <v>-0.7983372903481919</v>
      </c>
      <c r="T10" s="24">
        <f t="shared" si="11"/>
        <v>-0.86414333809193</v>
      </c>
      <c r="U10" s="24">
        <f t="shared" si="11"/>
        <v>-0.91265812155033554</v>
      </c>
    </row>
    <row r="11" spans="2:24" x14ac:dyDescent="0.35">
      <c r="B11" s="102" t="s">
        <v>93</v>
      </c>
      <c r="C11" s="103">
        <f>C8+C10</f>
        <v>140364</v>
      </c>
      <c r="D11" s="103">
        <f t="shared" ref="D11:G11" si="12">D8+D10</f>
        <v>149991</v>
      </c>
      <c r="E11" s="103">
        <f t="shared" si="12"/>
        <v>154454</v>
      </c>
      <c r="F11" s="103">
        <f t="shared" si="12"/>
        <v>158509</v>
      </c>
      <c r="G11" s="103">
        <f t="shared" si="12"/>
        <v>169925</v>
      </c>
      <c r="H11" s="60"/>
      <c r="I11" s="10"/>
      <c r="K11" s="47">
        <v>1</v>
      </c>
      <c r="L11" s="24">
        <f>D11/C11</f>
        <v>1.0685859622125331</v>
      </c>
      <c r="M11" s="24">
        <f t="shared" ref="M11" si="13">E11/D11</f>
        <v>1.0297551186404517</v>
      </c>
      <c r="N11" s="24">
        <f t="shared" ref="N11" si="14">F11/E11</f>
        <v>1.0262537713493984</v>
      </c>
      <c r="O11" s="24">
        <f t="shared" ref="O11" si="15">G11/F11</f>
        <v>1.0720211470642045</v>
      </c>
      <c r="Q11" s="24">
        <f t="shared" ref="Q11" si="16">C11/$C$8</f>
        <v>0.26788863357024528</v>
      </c>
      <c r="R11" s="24">
        <f t="shared" ref="R11" si="17">D11/$C$8</f>
        <v>0.28626203326946126</v>
      </c>
      <c r="S11" s="24">
        <f t="shared" ref="S11" si="18">E11/$C$8</f>
        <v>0.29477979403165105</v>
      </c>
      <c r="T11" s="24">
        <f t="shared" ref="T11" si="19">F11/$C$8</f>
        <v>0.30251887534258076</v>
      </c>
      <c r="U11" s="24">
        <f t="shared" ref="U11" si="20">G11/$C$8</f>
        <v>0.32430663175332658</v>
      </c>
      <c r="W11" s="66"/>
      <c r="X11" s="67"/>
    </row>
    <row r="12" spans="2:24" x14ac:dyDescent="0.35">
      <c r="B12" s="102" t="s">
        <v>94</v>
      </c>
      <c r="C12" s="104">
        <f>C11/C8</f>
        <v>0.26788863357024528</v>
      </c>
      <c r="D12" s="104">
        <f t="shared" ref="D12:G12" si="21">D11/D8</f>
        <v>0.26824775418446895</v>
      </c>
      <c r="E12" s="104">
        <f t="shared" si="21"/>
        <v>0.26966900274812572</v>
      </c>
      <c r="F12" s="104">
        <f t="shared" si="21"/>
        <v>0.25930288292444326</v>
      </c>
      <c r="G12" s="104">
        <f t="shared" si="21"/>
        <v>0.26217936354869814</v>
      </c>
      <c r="H12" s="64"/>
      <c r="I12" s="10"/>
      <c r="K12" s="47"/>
      <c r="L12" s="24"/>
      <c r="M12" s="24"/>
      <c r="N12" s="24"/>
      <c r="O12" s="24"/>
      <c r="Q12" s="24"/>
      <c r="R12" s="24"/>
      <c r="S12" s="24"/>
      <c r="T12" s="24"/>
      <c r="U12" s="24"/>
      <c r="W12" s="66"/>
      <c r="X12" s="67"/>
    </row>
    <row r="13" spans="2:24" x14ac:dyDescent="0.35">
      <c r="B13" s="41" t="s">
        <v>150</v>
      </c>
      <c r="C13" s="10">
        <v>-108791</v>
      </c>
      <c r="D13" s="10">
        <v>-116288</v>
      </c>
      <c r="E13" s="10">
        <v>-117812</v>
      </c>
      <c r="F13" s="10">
        <v>-127140</v>
      </c>
      <c r="G13" s="10">
        <v>-130971</v>
      </c>
      <c r="H13" s="10"/>
      <c r="I13" s="10"/>
      <c r="K13" s="47">
        <v>1</v>
      </c>
      <c r="L13" s="24">
        <f t="shared" ref="L13:O14" si="22">D13/C13</f>
        <v>1.0689119504370765</v>
      </c>
      <c r="M13" s="24">
        <f t="shared" si="22"/>
        <v>1.0131053935057788</v>
      </c>
      <c r="N13" s="24">
        <f t="shared" si="22"/>
        <v>1.0791769938546159</v>
      </c>
      <c r="O13" s="24">
        <f t="shared" si="22"/>
        <v>1.0301321378008494</v>
      </c>
      <c r="Q13" s="24">
        <f t="shared" si="5"/>
        <v>-0.20763067691673473</v>
      </c>
      <c r="R13" s="24">
        <f>D13/$D$8</f>
        <v>-0.20797244393732642</v>
      </c>
      <c r="S13" s="24">
        <f>E13/$E$8</f>
        <v>-0.20569389301515137</v>
      </c>
      <c r="T13" s="24">
        <f>F13/$F$8</f>
        <v>-0.20798672968105103</v>
      </c>
      <c r="U13" s="24">
        <f>G13/$G$8</f>
        <v>-0.20207675988428159</v>
      </c>
      <c r="W13" s="66"/>
      <c r="X13" s="67"/>
    </row>
    <row r="14" spans="2:24" x14ac:dyDescent="0.35">
      <c r="B14" s="105" t="s">
        <v>97</v>
      </c>
      <c r="C14" s="106">
        <f>C11+C13</f>
        <v>31573</v>
      </c>
      <c r="D14" s="106">
        <f t="shared" ref="D14:G14" si="23">D11+D13</f>
        <v>33703</v>
      </c>
      <c r="E14" s="106">
        <f t="shared" si="23"/>
        <v>36642</v>
      </c>
      <c r="F14" s="106">
        <f t="shared" si="23"/>
        <v>31369</v>
      </c>
      <c r="G14" s="106">
        <f t="shared" si="23"/>
        <v>38954</v>
      </c>
      <c r="H14" s="69"/>
      <c r="I14" s="10"/>
      <c r="K14" s="47">
        <v>1</v>
      </c>
      <c r="L14" s="24">
        <f t="shared" si="22"/>
        <v>1.067462705476198</v>
      </c>
      <c r="M14" s="24">
        <f t="shared" si="22"/>
        <v>1.0872029196213986</v>
      </c>
      <c r="N14" s="24">
        <f t="shared" si="22"/>
        <v>0.85609409966704875</v>
      </c>
      <c r="O14" s="24">
        <f t="shared" si="22"/>
        <v>1.2417992285377284</v>
      </c>
      <c r="Q14" s="24">
        <f t="shared" ref="Q14" si="24">C14/$C$8</f>
        <v>6.0257956653510546E-2</v>
      </c>
      <c r="R14" s="24">
        <f t="shared" ref="R14" si="25">D14/$C$8</f>
        <v>6.4323121435823832E-2</v>
      </c>
      <c r="S14" s="24">
        <f t="shared" ref="S14" si="26">E14/$C$8</f>
        <v>6.9932285424189444E-2</v>
      </c>
      <c r="T14" s="24">
        <f t="shared" ref="T14" si="27">F14/$C$8</f>
        <v>5.9868616927880543E-2</v>
      </c>
      <c r="U14" s="24">
        <f t="shared" ref="U14" si="28">G14/$C$8</f>
        <v>7.4344802314662839E-2</v>
      </c>
    </row>
    <row r="15" spans="2:24" x14ac:dyDescent="0.35">
      <c r="B15" s="105" t="s">
        <v>98</v>
      </c>
      <c r="C15" s="107">
        <f>C14/C8</f>
        <v>6.0257956653510546E-2</v>
      </c>
      <c r="D15" s="107">
        <f t="shared" ref="D15:G15" si="29">D14/D8</f>
        <v>6.0275310247142541E-2</v>
      </c>
      <c r="E15" s="107">
        <f t="shared" si="29"/>
        <v>6.3975109732974364E-2</v>
      </c>
      <c r="F15" s="107">
        <f t="shared" si="29"/>
        <v>5.131615324339224E-2</v>
      </c>
      <c r="G15" s="107">
        <f t="shared" si="29"/>
        <v>6.0102603664416589E-2</v>
      </c>
      <c r="H15" s="70"/>
      <c r="I15" s="10"/>
    </row>
    <row r="16" spans="2:24" x14ac:dyDescent="0.35">
      <c r="B16" s="41" t="s">
        <v>151</v>
      </c>
      <c r="C16" s="101">
        <v>-10990</v>
      </c>
      <c r="D16" s="101">
        <v>-11150</v>
      </c>
      <c r="E16" s="101">
        <v>-10660</v>
      </c>
      <c r="F16" s="101">
        <v>-10950</v>
      </c>
      <c r="G16" s="101">
        <v>-11850</v>
      </c>
      <c r="H16" s="65"/>
      <c r="I16" s="10"/>
      <c r="K16" s="47">
        <v>1</v>
      </c>
      <c r="L16" s="24">
        <f>D16/C16</f>
        <v>1.0145586897179253</v>
      </c>
      <c r="M16" s="24">
        <f t="shared" ref="M16" si="30">E16/D16</f>
        <v>0.95605381165919279</v>
      </c>
      <c r="N16" s="24">
        <f t="shared" ref="N16" si="31">F16/E16</f>
        <v>1.0272045028142589</v>
      </c>
      <c r="O16" s="24">
        <f t="shared" ref="O16" si="32">G16/F16</f>
        <v>1.0821917808219179</v>
      </c>
      <c r="Q16" s="24">
        <f t="shared" si="5"/>
        <v>-2.0974723454283119E-2</v>
      </c>
      <c r="R16" s="24">
        <f>D16/$C$8</f>
        <v>-2.1280087944973318E-2</v>
      </c>
      <c r="S16" s="24">
        <f>E16/$C$8</f>
        <v>-2.034490919223458E-2</v>
      </c>
      <c r="T16" s="24">
        <f>F16/$C$8</f>
        <v>-2.0898382331610569E-2</v>
      </c>
      <c r="U16" s="24">
        <f>G16/$C$8</f>
        <v>-2.2616057591742945E-2</v>
      </c>
      <c r="W16" s="66"/>
      <c r="X16" s="67"/>
    </row>
    <row r="17" spans="2:24" x14ac:dyDescent="0.35">
      <c r="B17" s="44" t="s">
        <v>95</v>
      </c>
      <c r="C17" s="43">
        <f>C8+C10+C13+C16</f>
        <v>20583</v>
      </c>
      <c r="D17" s="43">
        <f t="shared" ref="D17:F17" si="33">D8+D10+D13+D16</f>
        <v>22553</v>
      </c>
      <c r="E17" s="43">
        <f t="shared" si="33"/>
        <v>25982</v>
      </c>
      <c r="F17" s="43">
        <f t="shared" si="33"/>
        <v>20419</v>
      </c>
      <c r="G17" s="43">
        <f>G8+G10+G13+G16</f>
        <v>27104</v>
      </c>
      <c r="H17" s="61"/>
      <c r="I17" s="10"/>
      <c r="K17" s="50">
        <v>1</v>
      </c>
      <c r="L17" s="56">
        <f t="shared" si="1"/>
        <v>1.0957100519846474</v>
      </c>
      <c r="M17" s="56">
        <f t="shared" si="2"/>
        <v>1.1520418569591628</v>
      </c>
      <c r="N17" s="56">
        <f t="shared" si="3"/>
        <v>0.7858902316988684</v>
      </c>
      <c r="O17" s="56">
        <f t="shared" si="4"/>
        <v>1.3273911552965376</v>
      </c>
      <c r="Q17" s="56">
        <f t="shared" si="5"/>
        <v>3.9283233199227427E-2</v>
      </c>
      <c r="R17" s="56">
        <f t="shared" si="6"/>
        <v>4.0334364062659285E-2</v>
      </c>
      <c r="S17" s="56">
        <f t="shared" si="7"/>
        <v>4.5363279872336119E-2</v>
      </c>
      <c r="T17" s="56">
        <f t="shared" si="8"/>
        <v>3.3403185727209225E-2</v>
      </c>
      <c r="U17" s="56">
        <f t="shared" si="9"/>
        <v>4.1819093539054969E-2</v>
      </c>
      <c r="W17" s="66"/>
      <c r="X17" s="67"/>
    </row>
    <row r="18" spans="2:24" x14ac:dyDescent="0.35">
      <c r="B18" s="108" t="s">
        <v>161</v>
      </c>
      <c r="C18" s="109">
        <f>C17/C8</f>
        <v>3.9283233199227427E-2</v>
      </c>
      <c r="D18" s="109">
        <f>D17/D8</f>
        <v>4.0334364062659285E-2</v>
      </c>
      <c r="E18" s="109">
        <f>E17/E8</f>
        <v>4.5363279872336119E-2</v>
      </c>
      <c r="F18" s="109">
        <f>F17/F8</f>
        <v>3.3403185727209225E-2</v>
      </c>
      <c r="G18" s="109">
        <f>G17/G8</f>
        <v>4.1819093539054969E-2</v>
      </c>
      <c r="H18" s="63"/>
      <c r="I18" s="10"/>
      <c r="K18" s="47"/>
      <c r="L18" s="62"/>
      <c r="M18" s="62"/>
      <c r="N18" s="62"/>
      <c r="O18" s="62"/>
      <c r="Q18" s="62"/>
      <c r="R18" s="62"/>
      <c r="S18" s="62"/>
      <c r="T18" s="62"/>
      <c r="U18" s="62"/>
    </row>
    <row r="19" spans="2:24" x14ac:dyDescent="0.35">
      <c r="B19" s="8" t="s">
        <v>6</v>
      </c>
      <c r="H19" s="10"/>
      <c r="I19" s="10"/>
      <c r="K19" s="47"/>
      <c r="L19" s="24"/>
      <c r="M19" s="24"/>
      <c r="N19" s="24"/>
      <c r="O19" s="24"/>
      <c r="Q19" s="24"/>
      <c r="R19" s="24"/>
      <c r="S19" s="24"/>
      <c r="T19" s="24"/>
      <c r="U19" s="24"/>
      <c r="X19" s="67"/>
    </row>
    <row r="20" spans="2:24" x14ac:dyDescent="0.35">
      <c r="B20" s="41" t="s">
        <v>7</v>
      </c>
      <c r="C20" s="10">
        <v>2262</v>
      </c>
      <c r="D20" s="10">
        <v>1976</v>
      </c>
      <c r="E20" s="10">
        <v>1674</v>
      </c>
      <c r="F20" s="10">
        <v>1787</v>
      </c>
      <c r="G20" s="10">
        <v>2259</v>
      </c>
      <c r="H20" s="10"/>
      <c r="I20" s="10"/>
      <c r="K20" s="47">
        <v>1</v>
      </c>
      <c r="L20" s="24">
        <f t="shared" si="1"/>
        <v>0.87356321839080464</v>
      </c>
      <c r="M20" s="24">
        <f t="shared" si="2"/>
        <v>0.84716599190283404</v>
      </c>
      <c r="N20" s="24">
        <f t="shared" si="3"/>
        <v>1.0675029868578256</v>
      </c>
      <c r="O20" s="24">
        <f t="shared" si="4"/>
        <v>1.2641298265249021</v>
      </c>
      <c r="Q20" s="24">
        <f t="shared" si="5"/>
        <v>4.317090487132704E-3</v>
      </c>
      <c r="R20" s="24">
        <f t="shared" si="6"/>
        <v>3.5339291175371232E-3</v>
      </c>
      <c r="S20" s="24">
        <f t="shared" si="7"/>
        <v>2.9227207492221793E-3</v>
      </c>
      <c r="T20" s="24">
        <f t="shared" si="8"/>
        <v>2.9233308631432921E-3</v>
      </c>
      <c r="U20" s="24">
        <f t="shared" si="9"/>
        <v>3.4854387656702026E-3</v>
      </c>
      <c r="X20" s="67"/>
    </row>
    <row r="21" spans="2:24" x14ac:dyDescent="0.35">
      <c r="B21" s="41" t="s">
        <v>8</v>
      </c>
      <c r="C21" s="10">
        <v>337</v>
      </c>
      <c r="D21" s="10">
        <v>339</v>
      </c>
      <c r="E21" s="10">
        <v>320</v>
      </c>
      <c r="F21" s="10">
        <v>341</v>
      </c>
      <c r="G21" s="10">
        <v>424</v>
      </c>
      <c r="H21" s="10"/>
      <c r="I21" s="10"/>
      <c r="K21" s="47">
        <v>1</v>
      </c>
      <c r="L21" s="24">
        <f t="shared" si="1"/>
        <v>1.0059347181008902</v>
      </c>
      <c r="M21" s="24">
        <f t="shared" si="2"/>
        <v>0.94395280235988199</v>
      </c>
      <c r="N21" s="24">
        <f t="shared" si="3"/>
        <v>1.065625</v>
      </c>
      <c r="O21" s="24">
        <f t="shared" si="4"/>
        <v>1.2434017595307918</v>
      </c>
      <c r="Q21" s="24">
        <f t="shared" si="5"/>
        <v>6.4317395851623397E-4</v>
      </c>
      <c r="R21" s="24">
        <f t="shared" si="6"/>
        <v>6.0627630103496193E-4</v>
      </c>
      <c r="S21" s="24">
        <f t="shared" si="7"/>
        <v>5.5870408587281801E-4</v>
      </c>
      <c r="T21" s="24">
        <f t="shared" si="8"/>
        <v>5.5783761854049394E-4</v>
      </c>
      <c r="U21" s="24">
        <f t="shared" si="9"/>
        <v>6.5419479267116686E-4</v>
      </c>
      <c r="X21" s="67"/>
    </row>
    <row r="22" spans="2:24" x14ac:dyDescent="0.35">
      <c r="B22" s="41" t="s">
        <v>9</v>
      </c>
      <c r="C22" s="10">
        <v>-189</v>
      </c>
      <c r="D22" s="10">
        <v>-121</v>
      </c>
      <c r="E22" s="10">
        <v>-158</v>
      </c>
      <c r="F22" s="10">
        <v>-254</v>
      </c>
      <c r="G22" s="10">
        <v>-546</v>
      </c>
      <c r="H22" s="10"/>
      <c r="I22" s="10"/>
      <c r="K22" s="47">
        <v>1</v>
      </c>
      <c r="L22" s="24">
        <f t="shared" si="1"/>
        <v>0.64021164021164023</v>
      </c>
      <c r="M22" s="24">
        <f t="shared" si="2"/>
        <v>1.3057851239669422</v>
      </c>
      <c r="N22" s="24">
        <f t="shared" si="3"/>
        <v>1.6075949367088607</v>
      </c>
      <c r="O22" s="24">
        <f t="shared" si="4"/>
        <v>2.1496062992125986</v>
      </c>
      <c r="Q22" s="24">
        <f t="shared" si="5"/>
        <v>-3.6071180462779885E-4</v>
      </c>
      <c r="R22" s="24">
        <f t="shared" si="6"/>
        <v>-2.1639950567914571E-4</v>
      </c>
      <c r="S22" s="24">
        <f t="shared" si="7"/>
        <v>-2.758601423997039E-4</v>
      </c>
      <c r="T22" s="24">
        <f t="shared" si="8"/>
        <v>-4.1551541087766998E-4</v>
      </c>
      <c r="U22" s="24">
        <f t="shared" si="9"/>
        <v>-8.424300867888139E-4</v>
      </c>
      <c r="X22" s="67"/>
    </row>
    <row r="23" spans="2:24" x14ac:dyDescent="0.35">
      <c r="B23" s="45" t="s">
        <v>10</v>
      </c>
      <c r="C23" s="10">
        <f>SUM(C20:C22)</f>
        <v>2410</v>
      </c>
      <c r="D23" s="10">
        <f t="shared" ref="D23:G23" si="34">SUM(D20:D22)</f>
        <v>2194</v>
      </c>
      <c r="E23" s="10">
        <f t="shared" si="34"/>
        <v>1836</v>
      </c>
      <c r="F23" s="10">
        <f t="shared" si="34"/>
        <v>1874</v>
      </c>
      <c r="G23" s="10">
        <f t="shared" si="34"/>
        <v>2137</v>
      </c>
      <c r="H23" s="10"/>
      <c r="I23" s="10"/>
      <c r="K23" s="47">
        <v>1</v>
      </c>
      <c r="L23" s="24">
        <f t="shared" si="1"/>
        <v>0.91037344398340247</v>
      </c>
      <c r="M23" s="24">
        <f t="shared" si="2"/>
        <v>0.83682771194165906</v>
      </c>
      <c r="N23" s="24">
        <f t="shared" si="3"/>
        <v>1.0206971677559913</v>
      </c>
      <c r="O23" s="24">
        <f t="shared" si="4"/>
        <v>1.1403415154749199</v>
      </c>
      <c r="Q23" s="24">
        <f t="shared" si="5"/>
        <v>4.5995526410211388E-3</v>
      </c>
      <c r="R23" s="24">
        <f t="shared" si="6"/>
        <v>3.9238059128929399E-3</v>
      </c>
      <c r="S23" s="24">
        <f t="shared" si="7"/>
        <v>3.2055646926952932E-3</v>
      </c>
      <c r="T23" s="24">
        <f t="shared" si="8"/>
        <v>3.0656530708061164E-3</v>
      </c>
      <c r="U23" s="24">
        <f t="shared" si="9"/>
        <v>3.2972034715525555E-3</v>
      </c>
      <c r="X23" s="67"/>
    </row>
    <row r="24" spans="2:24" x14ac:dyDescent="0.35">
      <c r="B24" s="12" t="s">
        <v>11</v>
      </c>
      <c r="C24" s="10"/>
      <c r="D24" s="10"/>
      <c r="E24" s="10">
        <v>-2410</v>
      </c>
      <c r="F24" s="10"/>
      <c r="G24" s="10"/>
      <c r="H24" s="10"/>
      <c r="I24" s="10"/>
      <c r="K24" s="68"/>
      <c r="L24" s="24"/>
      <c r="M24" s="46">
        <v>1</v>
      </c>
      <c r="N24" s="24"/>
      <c r="O24" s="24"/>
      <c r="Q24" s="24">
        <f t="shared" si="5"/>
        <v>0</v>
      </c>
      <c r="R24" s="24">
        <f t="shared" si="6"/>
        <v>0</v>
      </c>
      <c r="S24" s="24">
        <f t="shared" si="7"/>
        <v>-4.2077401467296603E-3</v>
      </c>
      <c r="T24" s="24">
        <f t="shared" si="8"/>
        <v>0</v>
      </c>
      <c r="U24" s="24">
        <f t="shared" si="9"/>
        <v>0</v>
      </c>
      <c r="X24" s="67"/>
    </row>
    <row r="25" spans="2:24" x14ac:dyDescent="0.35">
      <c r="B25" s="12" t="s">
        <v>12</v>
      </c>
      <c r="C25" s="10">
        <v>-1958</v>
      </c>
      <c r="D25" s="10">
        <v>-210</v>
      </c>
      <c r="E25" s="10">
        <v>3000</v>
      </c>
      <c r="F25" s="10">
        <v>1538</v>
      </c>
      <c r="G25" s="10">
        <v>3027</v>
      </c>
      <c r="H25" s="10"/>
      <c r="I25" s="10"/>
      <c r="K25" s="47">
        <v>1</v>
      </c>
      <c r="L25" s="24">
        <f t="shared" si="1"/>
        <v>0.10725229826353422</v>
      </c>
      <c r="M25" s="24">
        <f t="shared" si="2"/>
        <v>-14.285714285714286</v>
      </c>
      <c r="N25" s="24">
        <f t="shared" si="3"/>
        <v>0.51266666666666671</v>
      </c>
      <c r="O25" s="24">
        <f t="shared" si="4"/>
        <v>1.9681404421326398</v>
      </c>
      <c r="Q25" s="24">
        <f t="shared" si="5"/>
        <v>-3.7368979548213234E-3</v>
      </c>
      <c r="R25" s="24">
        <f t="shared" si="6"/>
        <v>-3.7556939002165784E-4</v>
      </c>
      <c r="S25" s="24">
        <f t="shared" si="7"/>
        <v>5.2378508050576686E-3</v>
      </c>
      <c r="T25" s="24">
        <f t="shared" si="8"/>
        <v>2.5159948894876239E-3</v>
      </c>
      <c r="U25" s="24">
        <f t="shared" si="9"/>
        <v>4.6703953712632596E-3</v>
      </c>
    </row>
    <row r="26" spans="2:24" x14ac:dyDescent="0.35">
      <c r="B26" s="108" t="s">
        <v>96</v>
      </c>
      <c r="C26" s="104">
        <f>SUM(C20:C25)/C8</f>
        <v>5.4622073272209545E-3</v>
      </c>
      <c r="D26" s="104">
        <f>SUM(D20:D25)/D8</f>
        <v>7.4720424357642215E-3</v>
      </c>
      <c r="E26" s="104">
        <f>SUM(E20:E25)/E8</f>
        <v>7.4412400437185947E-3</v>
      </c>
      <c r="F26" s="104">
        <f>SUM(F20:F25)/F8</f>
        <v>8.6473010310998567E-3</v>
      </c>
      <c r="G26" s="104">
        <f>SUM(G20:G25)/G8</f>
        <v>1.1264802314368371E-2</v>
      </c>
      <c r="H26" s="64"/>
      <c r="I26" s="10"/>
      <c r="K26" s="47"/>
      <c r="L26" s="24"/>
      <c r="M26" s="24"/>
      <c r="N26" s="24"/>
      <c r="O26" s="24"/>
      <c r="Q26" s="24"/>
      <c r="R26" s="24"/>
      <c r="S26" s="24"/>
      <c r="T26" s="24"/>
      <c r="U26" s="24"/>
    </row>
    <row r="27" spans="2:24" x14ac:dyDescent="0.35">
      <c r="B27" s="42" t="s">
        <v>107</v>
      </c>
      <c r="C27" s="43">
        <f>C17+C23+C25</f>
        <v>21035</v>
      </c>
      <c r="D27" s="43">
        <f t="shared" ref="D27:F27" si="35">D17+D23+D25</f>
        <v>24537</v>
      </c>
      <c r="E27" s="43">
        <f>E17+SUM(E23:E25)</f>
        <v>28408</v>
      </c>
      <c r="F27" s="43">
        <f t="shared" si="35"/>
        <v>23831</v>
      </c>
      <c r="G27" s="43">
        <f>G17+G23+G25</f>
        <v>32268</v>
      </c>
      <c r="H27" s="61"/>
      <c r="I27" s="10"/>
      <c r="K27" s="50">
        <v>1</v>
      </c>
      <c r="L27" s="56">
        <f t="shared" si="1"/>
        <v>1.1664844307107203</v>
      </c>
      <c r="M27" s="56">
        <f t="shared" si="2"/>
        <v>1.157761747564902</v>
      </c>
      <c r="N27" s="56">
        <f t="shared" si="3"/>
        <v>0.83888341312306391</v>
      </c>
      <c r="O27" s="56">
        <f t="shared" si="4"/>
        <v>1.3540346607360161</v>
      </c>
      <c r="Q27" s="56">
        <f t="shared" si="5"/>
        <v>4.0145887885427244E-2</v>
      </c>
      <c r="R27" s="56">
        <f t="shared" si="6"/>
        <v>4.3882600585530562E-2</v>
      </c>
      <c r="S27" s="56">
        <f t="shared" si="7"/>
        <v>4.9598955223359414E-2</v>
      </c>
      <c r="T27" s="56">
        <f t="shared" si="8"/>
        <v>3.8984833687502968E-2</v>
      </c>
      <c r="U27" s="56">
        <f t="shared" si="9"/>
        <v>4.9786692381870779E-2</v>
      </c>
    </row>
    <row r="28" spans="2:24" x14ac:dyDescent="0.35">
      <c r="B28" s="12" t="s">
        <v>155</v>
      </c>
      <c r="C28" s="10">
        <v>-4915</v>
      </c>
      <c r="D28" s="10">
        <v>-6858</v>
      </c>
      <c r="E28" s="10">
        <v>-4756</v>
      </c>
      <c r="F28" s="10">
        <v>-5724</v>
      </c>
      <c r="G28" s="10">
        <v>-5578</v>
      </c>
      <c r="H28" s="10"/>
      <c r="I28" s="10"/>
      <c r="K28" s="47">
        <v>1</v>
      </c>
      <c r="L28" s="24">
        <f t="shared" si="1"/>
        <v>1.395320447609359</v>
      </c>
      <c r="M28" s="24">
        <f t="shared" si="2"/>
        <v>0.69349664625255181</v>
      </c>
      <c r="N28" s="24">
        <f t="shared" si="3"/>
        <v>1.2035323801513877</v>
      </c>
      <c r="O28" s="24">
        <f t="shared" si="4"/>
        <v>0.9744933612858141</v>
      </c>
      <c r="Q28" s="24">
        <f t="shared" si="5"/>
        <v>-9.3804154483895837E-3</v>
      </c>
      <c r="R28" s="24">
        <f t="shared" si="6"/>
        <v>-1.2265023222707283E-2</v>
      </c>
      <c r="S28" s="24">
        <f t="shared" si="7"/>
        <v>-8.3037394762847574E-3</v>
      </c>
      <c r="T28" s="24">
        <f t="shared" si="8"/>
        <v>-9.3638197317471774E-3</v>
      </c>
      <c r="U28" s="24">
        <f t="shared" si="9"/>
        <v>-8.6063645130183223E-3</v>
      </c>
    </row>
    <row r="29" spans="2:24" x14ac:dyDescent="0.35">
      <c r="B29" s="44" t="s">
        <v>106</v>
      </c>
      <c r="C29" s="14">
        <f>C27+C28</f>
        <v>16120</v>
      </c>
      <c r="D29" s="14">
        <f t="shared" ref="D29:F29" si="36">D27+D28</f>
        <v>17679</v>
      </c>
      <c r="E29" s="14">
        <f t="shared" si="36"/>
        <v>23652</v>
      </c>
      <c r="F29" s="14">
        <f t="shared" si="36"/>
        <v>18107</v>
      </c>
      <c r="G29" s="14">
        <f>G27+G28</f>
        <v>26690</v>
      </c>
      <c r="H29" s="15"/>
      <c r="I29" s="10"/>
      <c r="K29" s="47">
        <v>1</v>
      </c>
      <c r="L29" s="24">
        <f t="shared" si="1"/>
        <v>1.096712158808933</v>
      </c>
      <c r="M29" s="24">
        <f t="shared" si="2"/>
        <v>1.3378584761581538</v>
      </c>
      <c r="N29" s="24">
        <f t="shared" si="3"/>
        <v>0.76555893793336716</v>
      </c>
      <c r="O29" s="24">
        <f t="shared" si="4"/>
        <v>1.4740155740873695</v>
      </c>
      <c r="Q29" s="24">
        <f t="shared" si="5"/>
        <v>3.0765472437037658E-2</v>
      </c>
      <c r="R29" s="24">
        <f t="shared" si="6"/>
        <v>3.1617577362823279E-2</v>
      </c>
      <c r="S29" s="24">
        <f t="shared" si="7"/>
        <v>4.1295215747074662E-2</v>
      </c>
      <c r="T29" s="24">
        <f t="shared" si="8"/>
        <v>2.9621013955755789E-2</v>
      </c>
      <c r="U29" s="24">
        <f t="shared" si="9"/>
        <v>4.1180327868852458E-2</v>
      </c>
    </row>
    <row r="30" spans="2:24" x14ac:dyDescent="0.35">
      <c r="B30" s="12" t="s">
        <v>14</v>
      </c>
      <c r="C30" s="10">
        <v>-320</v>
      </c>
      <c r="D30" s="10">
        <v>-196</v>
      </c>
      <c r="E30" s="10">
        <v>-267</v>
      </c>
      <c r="F30" s="10">
        <v>388</v>
      </c>
      <c r="G30" s="10">
        <v>-759</v>
      </c>
      <c r="H30" s="15"/>
      <c r="I30" s="10"/>
      <c r="K30" s="47">
        <v>1</v>
      </c>
      <c r="L30" s="24">
        <f t="shared" si="1"/>
        <v>0.61250000000000004</v>
      </c>
      <c r="M30" s="24">
        <f t="shared" si="2"/>
        <v>1.3622448979591837</v>
      </c>
      <c r="N30" s="24">
        <f t="shared" si="3"/>
        <v>-1.4531835205992509</v>
      </c>
      <c r="O30" s="24">
        <f t="shared" si="4"/>
        <v>-1.9561855670103092</v>
      </c>
      <c r="Q30" s="24">
        <f t="shared" si="5"/>
        <v>-6.1072898138040017E-4</v>
      </c>
      <c r="R30" s="24">
        <f t="shared" si="6"/>
        <v>-3.5053143068688064E-4</v>
      </c>
      <c r="S30" s="24">
        <f t="shared" si="7"/>
        <v>-4.6616872165013254E-4</v>
      </c>
      <c r="T30" s="24">
        <f t="shared" si="8"/>
        <v>6.3472432842730687E-4</v>
      </c>
      <c r="U30" s="24">
        <f t="shared" si="9"/>
        <v>-1.1710703953712633E-3</v>
      </c>
    </row>
    <row r="31" spans="2:24" ht="15" thickBot="1" x14ac:dyDescent="0.4">
      <c r="B31" s="58" t="s">
        <v>104</v>
      </c>
      <c r="C31" s="59">
        <f>C29+C30</f>
        <v>15800</v>
      </c>
      <c r="D31" s="59">
        <f t="shared" ref="D31:F31" si="37">D29+D30</f>
        <v>17483</v>
      </c>
      <c r="E31" s="59">
        <f t="shared" si="37"/>
        <v>23385</v>
      </c>
      <c r="F31" s="59">
        <f t="shared" si="37"/>
        <v>18495</v>
      </c>
      <c r="G31" s="59">
        <f>G29+G30</f>
        <v>25931</v>
      </c>
      <c r="H31" s="15"/>
      <c r="I31" s="10"/>
      <c r="K31" s="54">
        <v>1</v>
      </c>
      <c r="L31" s="55">
        <f>D31/C31</f>
        <v>1.1065189873417722</v>
      </c>
      <c r="M31" s="55">
        <f t="shared" si="2"/>
        <v>1.3375850826517188</v>
      </c>
      <c r="N31" s="55">
        <f t="shared" si="3"/>
        <v>0.79089159717767799</v>
      </c>
      <c r="O31" s="55">
        <f t="shared" si="4"/>
        <v>1.4020546093538795</v>
      </c>
      <c r="Q31" s="55">
        <f>C31/$C$8</f>
        <v>3.015474345565726E-2</v>
      </c>
      <c r="R31" s="55">
        <f t="shared" si="6"/>
        <v>3.1267045932136403E-2</v>
      </c>
      <c r="S31" s="55">
        <f t="shared" si="7"/>
        <v>4.0829047025424531E-2</v>
      </c>
      <c r="T31" s="55">
        <f t="shared" si="8"/>
        <v>3.0255738284183094E-2</v>
      </c>
      <c r="U31" s="55">
        <f t="shared" si="9"/>
        <v>4.0009257473481198E-2</v>
      </c>
    </row>
    <row r="32" spans="2:24" x14ac:dyDescent="0.35">
      <c r="B32"/>
      <c r="C32" s="82"/>
      <c r="D32"/>
      <c r="E32"/>
      <c r="F32"/>
      <c r="G32"/>
      <c r="H32" s="15"/>
      <c r="I32" s="10"/>
      <c r="Q32" s="73"/>
      <c r="W32" s="99" t="s">
        <v>143</v>
      </c>
    </row>
    <row r="33" spans="2:9" x14ac:dyDescent="0.35">
      <c r="B33" s="8"/>
      <c r="C33" s="10"/>
      <c r="D33" s="10"/>
      <c r="E33" s="10"/>
      <c r="F33" s="10"/>
      <c r="G33" s="10"/>
      <c r="H33" s="10"/>
      <c r="I33" s="10"/>
    </row>
  </sheetData>
  <hyperlinks>
    <hyperlink ref="W32" location="'Ratio Analysis'!A1" display="view remaining ratios" xr:uid="{6C427A5C-6D85-4B5D-BCD1-44A4C66FBDC5}"/>
  </hyperlinks>
  <pageMargins left="0.7" right="0.7" top="0.75" bottom="0.75" header="0.3" footer="0.3"/>
  <ignoredErrors>
    <ignoredError sqref="E27" formula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Option Button 1">
              <controlPr defaultSize="0" autoFill="0" autoLine="0" autoPict="0">
                <anchor moveWithCells="1">
                  <from>
                    <xdr:col>22</xdr:col>
                    <xdr:colOff>31750</xdr:colOff>
                    <xdr:row>1</xdr:row>
                    <xdr:rowOff>76200</xdr:rowOff>
                  </from>
                  <to>
                    <xdr:col>23</xdr:col>
                    <xdr:colOff>615950</xdr:colOff>
                    <xdr:row>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Option Button 2">
              <controlPr defaultSize="0" autoFill="0" autoLine="0" autoPict="0">
                <anchor moveWithCells="1">
                  <from>
                    <xdr:col>24</xdr:col>
                    <xdr:colOff>273050</xdr:colOff>
                    <xdr:row>1</xdr:row>
                    <xdr:rowOff>76200</xdr:rowOff>
                  </from>
                  <to>
                    <xdr:col>26</xdr:col>
                    <xdr:colOff>266700</xdr:colOff>
                    <xdr:row>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Option Button 3">
              <controlPr defaultSize="0" autoFill="0" autoLine="0" autoPict="0">
                <anchor moveWithCells="1">
                  <from>
                    <xdr:col>27</xdr:col>
                    <xdr:colOff>6350</xdr:colOff>
                    <xdr:row>1</xdr:row>
                    <xdr:rowOff>76200</xdr:rowOff>
                  </from>
                  <to>
                    <xdr:col>28</xdr:col>
                    <xdr:colOff>590550</xdr:colOff>
                    <xdr:row>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Option Button 4">
              <controlPr defaultSize="0" autoFill="0" autoLine="0" autoPict="0">
                <anchor moveWithCells="1">
                  <from>
                    <xdr:col>29</xdr:col>
                    <xdr:colOff>342900</xdr:colOff>
                    <xdr:row>1</xdr:row>
                    <xdr:rowOff>76200</xdr:rowOff>
                  </from>
                  <to>
                    <xdr:col>31</xdr:col>
                    <xdr:colOff>323850</xdr:colOff>
                    <xdr:row>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Option Button 5">
              <controlPr defaultSize="0" autoFill="0" autoLine="0" autoPict="0">
                <anchor moveWithCells="1">
                  <from>
                    <xdr:col>32</xdr:col>
                    <xdr:colOff>76200</xdr:colOff>
                    <xdr:row>1</xdr:row>
                    <xdr:rowOff>76200</xdr:rowOff>
                  </from>
                  <to>
                    <xdr:col>34</xdr:col>
                    <xdr:colOff>57150</xdr:colOff>
                    <xdr:row>3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negative="1" xr2:uid="{DC54167B-C9EA-4F8B-AAB4-C786D8709827}">
          <x14:colorSeries theme="4" tint="-0.499984740745262"/>
          <x14:colorNegative rgb="FF7A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'Income Statement Analysis'!C6:G6</xm:f>
              <xm:sqref>I6</xm:sqref>
            </x14:sparkline>
            <x14:sparkline>
              <xm:f>'Income Statement Analysis'!C7:G7</xm:f>
              <xm:sqref>I7</xm:sqref>
            </x14:sparkline>
            <x14:sparkline>
              <xm:f>'Income Statement Analysis'!C8:G8</xm:f>
              <xm:sqref>I8</xm:sqref>
            </x14:sparkline>
            <x14:sparkline>
              <xm:f>'Income Statement Analysis'!C9:G9</xm:f>
              <xm:sqref>I9</xm:sqref>
            </x14:sparkline>
            <x14:sparkline>
              <xm:f>'Income Statement Analysis'!C10:G10</xm:f>
              <xm:sqref>I10</xm:sqref>
            </x14:sparkline>
            <x14:sparkline>
              <xm:f>'Income Statement Analysis'!C11:G11</xm:f>
              <xm:sqref>I11</xm:sqref>
            </x14:sparkline>
            <x14:sparkline>
              <xm:f>'Income Statement Analysis'!C12:G12</xm:f>
              <xm:sqref>I12</xm:sqref>
            </x14:sparkline>
            <x14:sparkline>
              <xm:f>'Income Statement Analysis'!C13:G13</xm:f>
              <xm:sqref>I13</xm:sqref>
            </x14:sparkline>
            <x14:sparkline>
              <xm:f>'Income Statement Analysis'!C14:G14</xm:f>
              <xm:sqref>I14</xm:sqref>
            </x14:sparkline>
            <x14:sparkline>
              <xm:f>'Income Statement Analysis'!C15:G15</xm:f>
              <xm:sqref>I15</xm:sqref>
            </x14:sparkline>
            <x14:sparkline>
              <xm:f>'Income Statement Analysis'!C16:G16</xm:f>
              <xm:sqref>I16</xm:sqref>
            </x14:sparkline>
            <x14:sparkline>
              <xm:f>'Income Statement Analysis'!C17:G17</xm:f>
              <xm:sqref>I17</xm:sqref>
            </x14:sparkline>
            <x14:sparkline>
              <xm:f>'Income Statement Analysis'!C18:G18</xm:f>
              <xm:sqref>I18</xm:sqref>
            </x14:sparkline>
            <x14:sparkline>
              <xm:f>'Income Statement Analysis'!C19:G19</xm:f>
              <xm:sqref>I19</xm:sqref>
            </x14:sparkline>
            <x14:sparkline>
              <xm:f>'Income Statement Analysis'!C20:G20</xm:f>
              <xm:sqref>I20</xm:sqref>
            </x14:sparkline>
            <x14:sparkline>
              <xm:f>'Income Statement Analysis'!C21:G21</xm:f>
              <xm:sqref>I21</xm:sqref>
            </x14:sparkline>
            <x14:sparkline>
              <xm:f>'Income Statement Analysis'!C22:G22</xm:f>
              <xm:sqref>I22</xm:sqref>
            </x14:sparkline>
            <x14:sparkline>
              <xm:f>'Income Statement Analysis'!C23:G23</xm:f>
              <xm:sqref>I23</xm:sqref>
            </x14:sparkline>
            <x14:sparkline>
              <xm:f>'Income Statement Analysis'!C24:G24</xm:f>
              <xm:sqref>I24</xm:sqref>
            </x14:sparkline>
            <x14:sparkline>
              <xm:f>'Income Statement Analysis'!C25:G25</xm:f>
              <xm:sqref>I25</xm:sqref>
            </x14:sparkline>
            <x14:sparkline>
              <xm:f>'Income Statement Analysis'!C26:G26</xm:f>
              <xm:sqref>I26</xm:sqref>
            </x14:sparkline>
            <x14:sparkline>
              <xm:f>'Income Statement Analysis'!C27:G27</xm:f>
              <xm:sqref>I27</xm:sqref>
            </x14:sparkline>
            <x14:sparkline>
              <xm:f>'Income Statement Analysis'!C28:G28</xm:f>
              <xm:sqref>I28</xm:sqref>
            </x14:sparkline>
            <x14:sparkline>
              <xm:f>'Income Statement Analysis'!C29:G29</xm:f>
              <xm:sqref>I29</xm:sqref>
            </x14:sparkline>
            <x14:sparkline>
              <xm:f>'Income Statement Analysis'!C30:G30</xm:f>
              <xm:sqref>I30</xm:sqref>
            </x14:sparkline>
            <x14:sparkline>
              <xm:f>'Income Statement Analysis'!C31:G31</xm:f>
              <xm:sqref>I31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CA68-7977-440E-B600-42075238CBF0}">
  <sheetPr codeName="Sheet5"/>
  <dimension ref="A1:W50"/>
  <sheetViews>
    <sheetView showGridLines="0" zoomScaleNormal="100" workbookViewId="0">
      <pane xSplit="21" ySplit="4" topLeftCell="V5" activePane="bottomRight" state="frozen"/>
      <selection pane="topRight" activeCell="V1" sqref="V1"/>
      <selection pane="bottomLeft" activeCell="A5" sqref="A5"/>
      <selection pane="bottomRight"/>
    </sheetView>
  </sheetViews>
  <sheetFormatPr defaultRowHeight="14.5" outlineLevelCol="1" x14ac:dyDescent="0.35"/>
  <cols>
    <col min="1" max="1" width="2.453125" customWidth="1" outlineLevel="1"/>
    <col min="2" max="2" width="64.453125" customWidth="1" outlineLevel="1"/>
    <col min="3" max="7" width="9.54296875" customWidth="1" outlineLevel="1"/>
    <col min="8" max="8" width="2.1796875" customWidth="1" outlineLevel="1"/>
    <col min="9" max="9" width="9.54296875" customWidth="1" outlineLevel="1"/>
    <col min="10" max="10" width="2.90625" customWidth="1"/>
    <col min="11" max="15" width="9.54296875" hidden="1" customWidth="1" outlineLevel="1"/>
    <col min="16" max="16" width="2.90625" customWidth="1" collapsed="1"/>
    <col min="17" max="21" width="9.54296875" hidden="1" customWidth="1" outlineLevel="1"/>
    <col min="22" max="22" width="8.7265625" collapsed="1"/>
  </cols>
  <sheetData>
    <row r="1" spans="2:21" s="96" customFormat="1" ht="39" customHeight="1" x14ac:dyDescent="0.35">
      <c r="B1" s="94" t="s">
        <v>100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</row>
    <row r="3" spans="2:21" x14ac:dyDescent="0.35">
      <c r="B3" s="17" t="s">
        <v>86</v>
      </c>
      <c r="C3" s="18" t="s">
        <v>101</v>
      </c>
      <c r="D3" s="18"/>
      <c r="E3" s="18"/>
      <c r="F3" s="18"/>
      <c r="G3" s="18"/>
      <c r="H3" s="18"/>
      <c r="I3" s="18"/>
      <c r="K3" s="18" t="s">
        <v>89</v>
      </c>
      <c r="L3" s="18"/>
      <c r="M3" s="18"/>
      <c r="N3" s="18"/>
      <c r="O3" s="18"/>
      <c r="Q3" s="18" t="s">
        <v>90</v>
      </c>
      <c r="R3" s="18"/>
      <c r="S3" s="18"/>
      <c r="T3" s="18"/>
      <c r="U3" s="18"/>
    </row>
    <row r="4" spans="2:21" x14ac:dyDescent="0.35">
      <c r="B4" s="32" t="s">
        <v>0</v>
      </c>
      <c r="C4" s="33">
        <v>2020</v>
      </c>
      <c r="D4" s="33">
        <v>2021</v>
      </c>
      <c r="E4" s="33">
        <v>2022</v>
      </c>
      <c r="F4" s="33">
        <v>2023</v>
      </c>
      <c r="G4" s="33">
        <v>2024</v>
      </c>
      <c r="H4" s="33"/>
      <c r="I4" s="33"/>
      <c r="K4" s="33">
        <v>2020</v>
      </c>
      <c r="L4" s="33">
        <v>2021</v>
      </c>
      <c r="M4" s="33">
        <v>2022</v>
      </c>
      <c r="N4" s="33">
        <v>2023</v>
      </c>
      <c r="O4" s="33">
        <v>2024</v>
      </c>
      <c r="Q4" s="33">
        <v>2020</v>
      </c>
      <c r="R4" s="33">
        <v>2021</v>
      </c>
      <c r="S4" s="33">
        <v>2022</v>
      </c>
      <c r="T4" s="33">
        <v>2023</v>
      </c>
      <c r="U4" s="33">
        <v>2024</v>
      </c>
    </row>
    <row r="5" spans="2:21" x14ac:dyDescent="0.35">
      <c r="B5" s="6" t="s">
        <v>53</v>
      </c>
      <c r="C5" s="141"/>
      <c r="D5" s="141"/>
      <c r="E5" s="141"/>
      <c r="F5" s="141"/>
      <c r="G5" s="141"/>
      <c r="H5" s="5"/>
      <c r="I5" s="5"/>
    </row>
    <row r="6" spans="2:21" x14ac:dyDescent="0.35">
      <c r="B6" s="12" t="s">
        <v>13</v>
      </c>
      <c r="C6" s="142">
        <v>15201</v>
      </c>
      <c r="D6" s="142">
        <v>13706</v>
      </c>
      <c r="E6" s="142">
        <v>13940</v>
      </c>
      <c r="F6" s="142">
        <v>11292</v>
      </c>
      <c r="G6" s="142">
        <v>16270</v>
      </c>
      <c r="H6" s="5"/>
      <c r="I6" s="5"/>
      <c r="K6" s="75">
        <v>1</v>
      </c>
      <c r="L6" s="74">
        <f>D6/C6</f>
        <v>0.90165120715742386</v>
      </c>
      <c r="M6" s="74">
        <f t="shared" ref="M6:O6" si="0">E6/D6</f>
        <v>1.0170728148256238</v>
      </c>
      <c r="N6" s="74">
        <f t="shared" si="0"/>
        <v>0.81004304160688667</v>
      </c>
      <c r="O6" s="74">
        <f t="shared" si="0"/>
        <v>1.4408430747431811</v>
      </c>
      <c r="Q6" s="74">
        <f>C6/$C$21</f>
        <v>0.6018291234460369</v>
      </c>
      <c r="R6" s="74">
        <f>D6/$D$21</f>
        <v>0.37996229762696826</v>
      </c>
      <c r="S6" s="74">
        <f>E6/$E$21</f>
        <v>0.57643799363189019</v>
      </c>
      <c r="T6" s="74">
        <f>F6/$F$21</f>
        <v>0.39145808777646812</v>
      </c>
      <c r="U6" s="74">
        <f>G6/$G$21</f>
        <v>0.45544887047560395</v>
      </c>
    </row>
    <row r="7" spans="2:21" ht="29" x14ac:dyDescent="0.35">
      <c r="B7" s="143" t="s">
        <v>54</v>
      </c>
      <c r="C7" s="142"/>
      <c r="D7" s="142"/>
      <c r="E7" s="142"/>
      <c r="F7" s="142"/>
      <c r="G7" s="142"/>
      <c r="H7" s="5"/>
      <c r="I7" s="5"/>
      <c r="K7" s="75"/>
      <c r="L7" s="74"/>
      <c r="M7" s="74"/>
      <c r="N7" s="74"/>
      <c r="O7" s="74"/>
      <c r="Q7" s="74"/>
      <c r="R7" s="74"/>
      <c r="S7" s="74"/>
      <c r="T7" s="74"/>
      <c r="U7" s="74"/>
    </row>
    <row r="8" spans="2:21" x14ac:dyDescent="0.35">
      <c r="B8" s="144" t="s">
        <v>55</v>
      </c>
      <c r="C8" s="142">
        <f>-'Income Statement Analysis'!C16</f>
        <v>10990</v>
      </c>
      <c r="D8" s="142">
        <f>-'Income Statement Analysis'!D16</f>
        <v>11150</v>
      </c>
      <c r="E8" s="142">
        <f>-'Income Statement Analysis'!E16</f>
        <v>10660</v>
      </c>
      <c r="F8" s="142">
        <f>-'Income Statement Analysis'!F16</f>
        <v>10950</v>
      </c>
      <c r="G8" s="142">
        <f>-'Income Statement Analysis'!G16</f>
        <v>11850</v>
      </c>
      <c r="H8" s="5"/>
      <c r="I8" s="5"/>
      <c r="K8" s="75">
        <v>1</v>
      </c>
      <c r="L8" s="74">
        <f>D8/C8</f>
        <v>1.0145586897179253</v>
      </c>
      <c r="M8" s="74">
        <f t="shared" ref="M8" si="1">E8/D8</f>
        <v>0.95605381165919279</v>
      </c>
      <c r="N8" s="74">
        <f t="shared" ref="N8" si="2">F8/E8</f>
        <v>1.0272045028142589</v>
      </c>
      <c r="O8" s="74">
        <f t="shared" ref="O8" si="3">G8/F8</f>
        <v>1.0821917808219179</v>
      </c>
      <c r="Q8" s="74">
        <f t="shared" ref="Q8:Q20" si="4">C8/$C$21</f>
        <v>0.43510966822392905</v>
      </c>
      <c r="R8" s="74">
        <f t="shared" ref="R8:R20" si="5">D8/$D$21</f>
        <v>0.30910401419383454</v>
      </c>
      <c r="S8" s="74">
        <f t="shared" ref="S8:S20" si="6">E8/$E$21</f>
        <v>0.44080552454203364</v>
      </c>
      <c r="T8" s="74">
        <f t="shared" ref="T8:T20" si="7">F8/$F$21</f>
        <v>0.37960202454413089</v>
      </c>
      <c r="U8" s="74">
        <f t="shared" ref="U8:U20" si="8">G8/$G$21</f>
        <v>0.33171906054922601</v>
      </c>
    </row>
    <row r="9" spans="2:21" x14ac:dyDescent="0.35">
      <c r="B9" s="144" t="s">
        <v>56</v>
      </c>
      <c r="C9" s="142">
        <v>-1886</v>
      </c>
      <c r="D9" s="142">
        <v>-8589</v>
      </c>
      <c r="E9" s="142">
        <v>2440</v>
      </c>
      <c r="F9" s="142">
        <v>1683</v>
      </c>
      <c r="G9" s="142">
        <v>3193</v>
      </c>
      <c r="H9" s="5"/>
      <c r="I9" s="5"/>
      <c r="K9" s="75">
        <v>1</v>
      </c>
      <c r="L9" s="74">
        <f t="shared" ref="L9:L14" si="9">D9/C9</f>
        <v>4.5540827147401908</v>
      </c>
      <c r="M9" s="74">
        <f t="shared" ref="M9:M14" si="10">E9/D9</f>
        <v>-0.28408429386424494</v>
      </c>
      <c r="N9" s="74">
        <f t="shared" ref="N9:N14" si="11">F9/E9</f>
        <v>0.68975409836065571</v>
      </c>
      <c r="O9" s="74">
        <f t="shared" ref="O9:O14" si="12">G9/F9</f>
        <v>1.8972073677956032</v>
      </c>
      <c r="Q9" s="74">
        <f t="shared" si="4"/>
        <v>-7.4669411671549613E-2</v>
      </c>
      <c r="R9" s="74">
        <f t="shared" si="5"/>
        <v>-0.23810711909514304</v>
      </c>
      <c r="S9" s="74">
        <f t="shared" si="6"/>
        <v>0.10089732456684447</v>
      </c>
      <c r="T9" s="74">
        <f t="shared" si="7"/>
        <v>5.8344311169659574E-2</v>
      </c>
      <c r="U9" s="74">
        <f t="shared" si="8"/>
        <v>8.9382190745458112E-2</v>
      </c>
    </row>
    <row r="10" spans="2:21" x14ac:dyDescent="0.35">
      <c r="B10" s="144" t="s">
        <v>57</v>
      </c>
      <c r="C10" s="142">
        <v>15</v>
      </c>
      <c r="D10" s="142">
        <v>8401</v>
      </c>
      <c r="E10" s="142">
        <v>433</v>
      </c>
      <c r="F10" s="142"/>
      <c r="G10" s="142"/>
      <c r="H10" s="5"/>
      <c r="I10" s="5"/>
      <c r="K10" s="75">
        <v>1</v>
      </c>
      <c r="L10" s="74">
        <f>D10/C10</f>
        <v>560.06666666666672</v>
      </c>
      <c r="M10" s="74">
        <f t="shared" si="10"/>
        <v>5.154148315676705E-2</v>
      </c>
      <c r="N10" s="74"/>
      <c r="O10" s="74"/>
      <c r="Q10" s="74">
        <f t="shared" si="4"/>
        <v>5.9387124871327897E-4</v>
      </c>
      <c r="R10" s="74">
        <f t="shared" si="5"/>
        <v>0.23289532047017078</v>
      </c>
      <c r="S10" s="74">
        <f t="shared" si="6"/>
        <v>1.7905139974362154E-2</v>
      </c>
      <c r="T10" s="74">
        <f t="shared" si="7"/>
        <v>0</v>
      </c>
      <c r="U10" s="74">
        <f t="shared" si="8"/>
        <v>0</v>
      </c>
    </row>
    <row r="11" spans="2:21" x14ac:dyDescent="0.35">
      <c r="B11" s="144" t="s">
        <v>85</v>
      </c>
      <c r="C11" s="142">
        <v>-1036</v>
      </c>
      <c r="D11" s="142"/>
      <c r="E11" s="142"/>
      <c r="F11" s="142"/>
      <c r="G11" s="142"/>
      <c r="H11" s="5"/>
      <c r="I11" s="5"/>
      <c r="K11" s="75">
        <v>1</v>
      </c>
      <c r="L11" s="74"/>
      <c r="M11" s="74"/>
      <c r="N11" s="74"/>
      <c r="O11" s="74"/>
      <c r="Q11" s="74">
        <f t="shared" si="4"/>
        <v>-4.1016707577797136E-2</v>
      </c>
      <c r="R11" s="74">
        <f t="shared" si="5"/>
        <v>0</v>
      </c>
      <c r="S11" s="74">
        <f t="shared" si="6"/>
        <v>0</v>
      </c>
      <c r="T11" s="74">
        <f t="shared" si="7"/>
        <v>0</v>
      </c>
      <c r="U11" s="74">
        <f t="shared" si="8"/>
        <v>0</v>
      </c>
    </row>
    <row r="12" spans="2:21" x14ac:dyDescent="0.35">
      <c r="B12" s="144" t="s">
        <v>58</v>
      </c>
      <c r="C12" s="142">
        <v>320</v>
      </c>
      <c r="D12" s="142">
        <v>1911</v>
      </c>
      <c r="E12" s="142">
        <v>-755</v>
      </c>
      <c r="F12" s="142">
        <v>449</v>
      </c>
      <c r="G12" s="142">
        <v>-175</v>
      </c>
      <c r="H12" s="5"/>
      <c r="I12" s="5"/>
      <c r="K12" s="75">
        <v>1</v>
      </c>
      <c r="L12" s="74">
        <f>D12/C12</f>
        <v>5.9718749999999998</v>
      </c>
      <c r="M12" s="74">
        <f t="shared" si="10"/>
        <v>-0.39508110936682367</v>
      </c>
      <c r="N12" s="74">
        <f t="shared" si="11"/>
        <v>-0.59470198675496688</v>
      </c>
      <c r="O12" s="74">
        <f t="shared" si="12"/>
        <v>-0.38975501113585748</v>
      </c>
      <c r="Q12" s="74">
        <f t="shared" si="4"/>
        <v>1.2669253305883284E-2</v>
      </c>
      <c r="R12" s="74">
        <f t="shared" si="5"/>
        <v>5.297737857618097E-2</v>
      </c>
      <c r="S12" s="74">
        <f t="shared" si="6"/>
        <v>-3.1220278708183436E-2</v>
      </c>
      <c r="T12" s="74">
        <f t="shared" si="7"/>
        <v>1.5565416348887194E-2</v>
      </c>
      <c r="U12" s="74">
        <f t="shared" si="8"/>
        <v>-4.8988046916552362E-3</v>
      </c>
    </row>
    <row r="13" spans="2:21" x14ac:dyDescent="0.35">
      <c r="B13" s="144" t="s">
        <v>11</v>
      </c>
      <c r="C13" s="142"/>
      <c r="D13" s="142"/>
      <c r="E13" s="142">
        <v>2410</v>
      </c>
      <c r="F13" s="142"/>
      <c r="G13" s="142"/>
      <c r="H13" s="5"/>
      <c r="I13" s="5"/>
      <c r="K13" s="75">
        <v>1</v>
      </c>
      <c r="L13" s="74"/>
      <c r="M13" s="74">
        <v>1</v>
      </c>
      <c r="N13" s="74"/>
      <c r="O13" s="74"/>
      <c r="Q13" s="74">
        <f t="shared" si="4"/>
        <v>0</v>
      </c>
      <c r="R13" s="74">
        <f t="shared" si="5"/>
        <v>0</v>
      </c>
      <c r="S13" s="74">
        <f t="shared" si="6"/>
        <v>9.9656783691022613E-2</v>
      </c>
      <c r="T13" s="74">
        <f t="shared" si="7"/>
        <v>0</v>
      </c>
      <c r="U13" s="74">
        <f t="shared" si="8"/>
        <v>0</v>
      </c>
    </row>
    <row r="14" spans="2:21" x14ac:dyDescent="0.35">
      <c r="B14" s="144" t="s">
        <v>59</v>
      </c>
      <c r="C14" s="142">
        <v>1981</v>
      </c>
      <c r="D14" s="142">
        <v>1521</v>
      </c>
      <c r="E14" s="142">
        <v>1652</v>
      </c>
      <c r="F14" s="142">
        <v>1919</v>
      </c>
      <c r="G14" s="142">
        <v>2642</v>
      </c>
      <c r="H14" s="5"/>
      <c r="I14" s="5"/>
      <c r="K14" s="75">
        <v>1</v>
      </c>
      <c r="L14" s="74">
        <f t="shared" si="9"/>
        <v>0.76779404341241797</v>
      </c>
      <c r="M14" s="74">
        <f t="shared" si="10"/>
        <v>1.0861275476660093</v>
      </c>
      <c r="N14" s="74">
        <f t="shared" si="11"/>
        <v>1.1616222760290558</v>
      </c>
      <c r="O14" s="74">
        <f t="shared" si="12"/>
        <v>1.3767587285044294</v>
      </c>
      <c r="Q14" s="74">
        <f t="shared" si="4"/>
        <v>7.8430596246733708E-2</v>
      </c>
      <c r="R14" s="74">
        <f t="shared" si="5"/>
        <v>4.2165668662674648E-2</v>
      </c>
      <c r="S14" s="74">
        <f t="shared" si="6"/>
        <v>6.8312450895257004E-2</v>
      </c>
      <c r="T14" s="74">
        <f t="shared" si="7"/>
        <v>6.6525688137003394E-2</v>
      </c>
      <c r="U14" s="74">
        <f t="shared" si="8"/>
        <v>7.3957954259160769E-2</v>
      </c>
    </row>
    <row r="15" spans="2:21" x14ac:dyDescent="0.35">
      <c r="B15" s="144" t="s">
        <v>102</v>
      </c>
      <c r="C15" s="142"/>
      <c r="D15" s="142"/>
      <c r="E15" s="142"/>
      <c r="F15" s="142"/>
      <c r="G15" s="142"/>
      <c r="H15" s="5"/>
      <c r="I15" s="5"/>
      <c r="K15" s="75"/>
      <c r="L15" s="74"/>
      <c r="M15" s="74"/>
      <c r="N15" s="74"/>
      <c r="O15" s="74"/>
      <c r="Q15" s="74"/>
      <c r="R15" s="74"/>
      <c r="S15" s="74"/>
      <c r="T15" s="74"/>
      <c r="U15" s="74"/>
    </row>
    <row r="16" spans="2:21" x14ac:dyDescent="0.35">
      <c r="B16" s="145" t="s">
        <v>18</v>
      </c>
      <c r="C16" s="142">
        <v>154</v>
      </c>
      <c r="D16" s="142">
        <v>-1086</v>
      </c>
      <c r="E16" s="142">
        <v>-1796</v>
      </c>
      <c r="F16" s="142">
        <v>240</v>
      </c>
      <c r="G16" s="142">
        <v>-797</v>
      </c>
      <c r="H16" s="5"/>
      <c r="I16" s="5"/>
      <c r="K16" s="75">
        <v>1</v>
      </c>
      <c r="L16" s="74">
        <f>D16/C16</f>
        <v>-7.0519480519480515</v>
      </c>
      <c r="M16" s="74">
        <f t="shared" ref="M16" si="13">E16/D16</f>
        <v>1.6537753222836096</v>
      </c>
      <c r="N16" s="74">
        <f t="shared" ref="N16" si="14">F16/E16</f>
        <v>-0.133630289532294</v>
      </c>
      <c r="O16" s="74">
        <f t="shared" ref="O16" si="15">G16/F16</f>
        <v>-3.3208333333333333</v>
      </c>
      <c r="Q16" s="74">
        <f>C16/$C$21</f>
        <v>6.0970781534563307E-3</v>
      </c>
      <c r="R16" s="74">
        <f t="shared" si="5"/>
        <v>-3.0106453759148371E-2</v>
      </c>
      <c r="S16" s="74">
        <f t="shared" si="6"/>
        <v>-7.4267047099201913E-2</v>
      </c>
      <c r="T16" s="74">
        <f t="shared" si="7"/>
        <v>8.320044373569993E-3</v>
      </c>
      <c r="U16" s="74">
        <f t="shared" si="8"/>
        <v>-2.2310556224281276E-2</v>
      </c>
    </row>
    <row r="17" spans="2:21" x14ac:dyDescent="0.35">
      <c r="B17" s="145" t="s">
        <v>19</v>
      </c>
      <c r="C17" s="142">
        <v>-300</v>
      </c>
      <c r="D17" s="142">
        <v>-2395</v>
      </c>
      <c r="E17" s="142">
        <v>-11764</v>
      </c>
      <c r="F17" s="142">
        <v>-528</v>
      </c>
      <c r="G17" s="142">
        <v>2017</v>
      </c>
      <c r="H17" s="5"/>
      <c r="I17" s="5"/>
      <c r="K17" s="75">
        <v>1</v>
      </c>
      <c r="L17" s="74">
        <f t="shared" ref="L17:L21" si="16">D17/C17</f>
        <v>7.9833333333333334</v>
      </c>
      <c r="M17" s="74">
        <f t="shared" ref="M17:M21" si="17">E17/D17</f>
        <v>4.9118997912317326</v>
      </c>
      <c r="N17" s="74">
        <f t="shared" ref="N17:N21" si="18">F17/E17</f>
        <v>4.4882692961577694E-2</v>
      </c>
      <c r="O17" s="74">
        <f t="shared" ref="O17:O21" si="19">G17/F17</f>
        <v>-3.8200757575757578</v>
      </c>
      <c r="Q17" s="74">
        <f t="shared" si="4"/>
        <v>-1.1877424974265579E-2</v>
      </c>
      <c r="R17" s="74">
        <f t="shared" si="5"/>
        <v>-6.6394987802173427E-2</v>
      </c>
      <c r="S17" s="74">
        <f t="shared" si="6"/>
        <v>-0.48645742877227804</v>
      </c>
      <c r="T17" s="74">
        <f t="shared" si="7"/>
        <v>-1.8304097621853983E-2</v>
      </c>
      <c r="U17" s="74">
        <f t="shared" si="8"/>
        <v>5.646222321753492E-2</v>
      </c>
    </row>
    <row r="18" spans="2:21" x14ac:dyDescent="0.35">
      <c r="B18" s="145" t="s">
        <v>31</v>
      </c>
      <c r="C18" s="142">
        <v>-274</v>
      </c>
      <c r="D18" s="142">
        <v>6966</v>
      </c>
      <c r="E18" s="142">
        <v>5520</v>
      </c>
      <c r="F18" s="142">
        <v>-1425</v>
      </c>
      <c r="G18" s="142">
        <v>2515</v>
      </c>
      <c r="H18" s="5"/>
      <c r="I18" s="5"/>
      <c r="K18" s="75">
        <v>1</v>
      </c>
      <c r="L18" s="74">
        <f t="shared" si="16"/>
        <v>-25.423357664233578</v>
      </c>
      <c r="M18" s="74">
        <f t="shared" si="17"/>
        <v>0.79242032730404821</v>
      </c>
      <c r="N18" s="74">
        <f t="shared" si="18"/>
        <v>-0.25815217391304346</v>
      </c>
      <c r="O18" s="74">
        <f t="shared" si="19"/>
        <v>-1.7649122807017543</v>
      </c>
      <c r="Q18" s="74">
        <f t="shared" si="4"/>
        <v>-1.0848048143162562E-2</v>
      </c>
      <c r="R18" s="74">
        <f t="shared" si="5"/>
        <v>0.19311377245508982</v>
      </c>
      <c r="S18" s="74">
        <f t="shared" si="6"/>
        <v>0.22825952115122194</v>
      </c>
      <c r="T18" s="74">
        <f t="shared" si="7"/>
        <v>-4.9400263468071831E-2</v>
      </c>
      <c r="U18" s="74">
        <f t="shared" si="8"/>
        <v>7.0402821711502389E-2</v>
      </c>
    </row>
    <row r="19" spans="2:21" x14ac:dyDescent="0.35">
      <c r="B19" s="145" t="s">
        <v>32</v>
      </c>
      <c r="C19" s="142">
        <v>186</v>
      </c>
      <c r="D19" s="142">
        <v>4623</v>
      </c>
      <c r="E19" s="142">
        <v>1404</v>
      </c>
      <c r="F19" s="142">
        <v>4393</v>
      </c>
      <c r="G19" s="142">
        <v>-1324</v>
      </c>
      <c r="H19" s="5"/>
      <c r="I19" s="5"/>
      <c r="K19" s="75">
        <v>1</v>
      </c>
      <c r="L19" s="74">
        <f t="shared" si="16"/>
        <v>24.85483870967742</v>
      </c>
      <c r="M19" s="74">
        <f t="shared" si="17"/>
        <v>0.30369889682024659</v>
      </c>
      <c r="N19" s="74">
        <f t="shared" si="18"/>
        <v>3.1289173789173788</v>
      </c>
      <c r="O19" s="74">
        <f t="shared" si="19"/>
        <v>-0.30138857272934211</v>
      </c>
      <c r="Q19" s="74">
        <f t="shared" si="4"/>
        <v>7.3640034840446594E-3</v>
      </c>
      <c r="R19" s="74">
        <f t="shared" si="5"/>
        <v>0.12816034597471723</v>
      </c>
      <c r="S19" s="74">
        <f t="shared" si="6"/>
        <v>5.8057312988462971E-2</v>
      </c>
      <c r="T19" s="74">
        <f t="shared" si="7"/>
        <v>0.15229147888788741</v>
      </c>
      <c r="U19" s="74">
        <f t="shared" si="8"/>
        <v>-3.706295663858019E-2</v>
      </c>
    </row>
    <row r="20" spans="2:21" x14ac:dyDescent="0.35">
      <c r="B20" s="145" t="s">
        <v>33</v>
      </c>
      <c r="C20" s="142">
        <v>-93</v>
      </c>
      <c r="D20" s="142">
        <v>-136</v>
      </c>
      <c r="E20" s="142">
        <v>39</v>
      </c>
      <c r="F20" s="142">
        <v>-127</v>
      </c>
      <c r="G20" s="142">
        <v>-468</v>
      </c>
      <c r="H20" s="5"/>
      <c r="I20" s="5"/>
      <c r="K20" s="75">
        <v>1</v>
      </c>
      <c r="L20" s="74">
        <f t="shared" si="16"/>
        <v>1.4623655913978495</v>
      </c>
      <c r="M20" s="74">
        <f t="shared" si="17"/>
        <v>-0.28676470588235292</v>
      </c>
      <c r="N20" s="74">
        <f t="shared" si="18"/>
        <v>-3.2564102564102564</v>
      </c>
      <c r="O20" s="74">
        <f t="shared" si="19"/>
        <v>3.6850393700787403</v>
      </c>
      <c r="Q20" s="74">
        <f t="shared" si="4"/>
        <v>-3.6820017420223297E-3</v>
      </c>
      <c r="R20" s="74">
        <f t="shared" si="5"/>
        <v>-3.7702373031714351E-3</v>
      </c>
      <c r="S20" s="74">
        <f t="shared" si="6"/>
        <v>1.6127031385684159E-3</v>
      </c>
      <c r="T20" s="74">
        <f t="shared" si="7"/>
        <v>-4.4026901476807876E-3</v>
      </c>
      <c r="U20" s="74">
        <f t="shared" si="8"/>
        <v>-1.3100803403969432E-2</v>
      </c>
    </row>
    <row r="21" spans="2:21" x14ac:dyDescent="0.35">
      <c r="B21" s="44" t="s">
        <v>60</v>
      </c>
      <c r="C21" s="146">
        <f>SUM(C6:C20)</f>
        <v>25258</v>
      </c>
      <c r="D21" s="146">
        <f t="shared" ref="D21:G21" si="20">SUM(D6:D20)</f>
        <v>36072</v>
      </c>
      <c r="E21" s="146">
        <f t="shared" si="20"/>
        <v>24183</v>
      </c>
      <c r="F21" s="146">
        <f t="shared" si="20"/>
        <v>28846</v>
      </c>
      <c r="G21" s="146">
        <f t="shared" si="20"/>
        <v>35723</v>
      </c>
      <c r="H21" s="5"/>
      <c r="I21" s="5"/>
      <c r="K21" s="77">
        <v>1</v>
      </c>
      <c r="L21" s="78">
        <f t="shared" si="16"/>
        <v>1.4281415789056933</v>
      </c>
      <c r="M21" s="78">
        <f t="shared" si="17"/>
        <v>0.67040918163672658</v>
      </c>
      <c r="N21" s="78">
        <f t="shared" si="18"/>
        <v>1.1928214034652442</v>
      </c>
      <c r="O21" s="78">
        <f t="shared" si="19"/>
        <v>1.2384039381543368</v>
      </c>
      <c r="Q21" s="75">
        <v>1</v>
      </c>
      <c r="R21" s="75">
        <v>1</v>
      </c>
      <c r="S21" s="75">
        <v>1</v>
      </c>
      <c r="T21" s="75">
        <v>1</v>
      </c>
      <c r="U21" s="75">
        <v>1</v>
      </c>
    </row>
    <row r="22" spans="2:21" x14ac:dyDescent="0.35">
      <c r="B22" s="6" t="s">
        <v>61</v>
      </c>
      <c r="C22" s="142"/>
      <c r="D22" s="142"/>
      <c r="E22" s="142"/>
      <c r="F22" s="142"/>
      <c r="G22" s="142"/>
      <c r="H22" s="5"/>
      <c r="I22" s="5"/>
      <c r="K22" s="75"/>
      <c r="L22" s="74"/>
      <c r="M22" s="74"/>
      <c r="N22" s="74"/>
      <c r="O22" s="74"/>
      <c r="Q22" s="80" t="b">
        <f>SUM(Q6:Q20)=Q21</f>
        <v>1</v>
      </c>
      <c r="R22" s="80" t="b">
        <f>ROUND(SUM(R6:R20),1)=R21</f>
        <v>1</v>
      </c>
      <c r="S22" s="80" t="b">
        <f t="shared" ref="S22:U22" si="21">SUM(S6:S20)=S21</f>
        <v>1</v>
      </c>
      <c r="T22" s="80" t="b">
        <f t="shared" si="21"/>
        <v>1</v>
      </c>
      <c r="U22" s="80" t="b">
        <f t="shared" si="21"/>
        <v>1</v>
      </c>
    </row>
    <row r="23" spans="2:21" x14ac:dyDescent="0.35">
      <c r="B23" s="41" t="s">
        <v>62</v>
      </c>
      <c r="C23" s="142">
        <v>-10705</v>
      </c>
      <c r="D23" s="142">
        <v>-10264</v>
      </c>
      <c r="E23" s="142">
        <v>-13106</v>
      </c>
      <c r="F23" s="142">
        <v>-16857</v>
      </c>
      <c r="G23" s="142">
        <v>-20606</v>
      </c>
      <c r="H23" s="5"/>
      <c r="I23" s="5"/>
      <c r="K23" s="75">
        <v>1</v>
      </c>
      <c r="L23" s="74">
        <f>D23/C23</f>
        <v>0.95880429705744974</v>
      </c>
      <c r="M23" s="74">
        <f t="shared" ref="M23:M27" si="22">E23/D23</f>
        <v>1.2768901013250196</v>
      </c>
      <c r="N23" s="74">
        <f t="shared" ref="N23:N27" si="23">F23/E23</f>
        <v>1.2862047916984587</v>
      </c>
      <c r="O23" s="74">
        <f t="shared" ref="O23:O27" si="24">G23/F23</f>
        <v>1.2224001898321173</v>
      </c>
      <c r="Q23" s="74">
        <f>C23/$C$28</f>
        <v>1.1727651183172656</v>
      </c>
      <c r="R23" s="74">
        <f>D23/$D$28</f>
        <v>1.0191639360540166</v>
      </c>
      <c r="S23" s="74">
        <f>E23/$E$28</f>
        <v>2.1788861180382377</v>
      </c>
      <c r="T23" s="74">
        <f>F23/$F$28</f>
        <v>0.95119061054057108</v>
      </c>
      <c r="U23" s="74">
        <f>G23/$G$28</f>
        <v>0.96800864377319495</v>
      </c>
    </row>
    <row r="24" spans="2:21" x14ac:dyDescent="0.35">
      <c r="B24" s="41" t="s">
        <v>63</v>
      </c>
      <c r="C24" s="142">
        <v>321</v>
      </c>
      <c r="D24" s="142">
        <v>215</v>
      </c>
      <c r="E24" s="142">
        <v>394</v>
      </c>
      <c r="F24" s="142">
        <v>170</v>
      </c>
      <c r="G24" s="142">
        <v>250</v>
      </c>
      <c r="H24" s="5"/>
      <c r="I24" s="5"/>
      <c r="K24" s="75">
        <v>1</v>
      </c>
      <c r="L24" s="74">
        <f t="shared" ref="L24:L27" si="25">D24/C24</f>
        <v>0.66978193146417442</v>
      </c>
      <c r="M24" s="74">
        <f t="shared" si="22"/>
        <v>1.8325581395348838</v>
      </c>
      <c r="N24" s="74">
        <f t="shared" si="23"/>
        <v>0.43147208121827413</v>
      </c>
      <c r="O24" s="74">
        <f t="shared" si="24"/>
        <v>1.4705882352941178</v>
      </c>
      <c r="Q24" s="74">
        <f t="shared" ref="Q24:Q27" si="26">C24/$C$28</f>
        <v>-3.5166520595968448E-2</v>
      </c>
      <c r="R24" s="74">
        <f t="shared" ref="R24:R27" si="27">D24/$D$28</f>
        <v>-2.1348426174163441E-2</v>
      </c>
      <c r="S24" s="74">
        <f t="shared" ref="S24:S27" si="28">E24/$E$28</f>
        <v>-6.5502909393183706E-2</v>
      </c>
      <c r="T24" s="74">
        <f t="shared" ref="T24:T27" si="29">F24/$F$28</f>
        <v>-9.5925967723733217E-3</v>
      </c>
      <c r="U24" s="74">
        <f t="shared" ref="U24:U27" si="30">G24/$G$28</f>
        <v>-1.1744257058298492E-2</v>
      </c>
    </row>
    <row r="25" spans="2:21" x14ac:dyDescent="0.35">
      <c r="B25" s="41" t="s">
        <v>64</v>
      </c>
      <c r="C25" s="142">
        <v>833</v>
      </c>
      <c r="D25" s="142">
        <v>56</v>
      </c>
      <c r="E25" s="142">
        <v>7935</v>
      </c>
      <c r="F25" s="142"/>
      <c r="G25" s="142">
        <v>135</v>
      </c>
      <c r="H25" s="5"/>
      <c r="I25" s="5"/>
      <c r="K25" s="75">
        <v>1</v>
      </c>
      <c r="L25" s="74">
        <f t="shared" si="25"/>
        <v>6.7226890756302518E-2</v>
      </c>
      <c r="M25" s="74">
        <f t="shared" si="22"/>
        <v>141.69642857142858</v>
      </c>
      <c r="N25" s="74"/>
      <c r="O25" s="74"/>
      <c r="Q25" s="74">
        <f t="shared" si="26"/>
        <v>-9.1257668711656442E-2</v>
      </c>
      <c r="R25" s="74">
        <f t="shared" si="27"/>
        <v>-5.560520305828617E-3</v>
      </c>
      <c r="S25" s="74">
        <f t="shared" si="28"/>
        <v>-1.3192019950124689</v>
      </c>
      <c r="T25" s="74">
        <f t="shared" si="29"/>
        <v>0</v>
      </c>
      <c r="U25" s="74">
        <f t="shared" si="30"/>
        <v>-6.3418988114811855E-3</v>
      </c>
    </row>
    <row r="26" spans="2:21" x14ac:dyDescent="0.35">
      <c r="B26" s="41" t="s">
        <v>65</v>
      </c>
      <c r="C26" s="142">
        <v>-56</v>
      </c>
      <c r="D26" s="142">
        <v>-180</v>
      </c>
      <c r="E26" s="142">
        <v>-359</v>
      </c>
      <c r="F26" s="142">
        <v>-740</v>
      </c>
      <c r="G26" s="142">
        <v>-9</v>
      </c>
      <c r="H26" s="5"/>
      <c r="I26" s="5"/>
      <c r="K26" s="75">
        <v>1</v>
      </c>
      <c r="L26" s="74">
        <f t="shared" si="25"/>
        <v>3.2142857142857144</v>
      </c>
      <c r="M26" s="74">
        <f t="shared" si="22"/>
        <v>1.9944444444444445</v>
      </c>
      <c r="N26" s="74">
        <f t="shared" si="23"/>
        <v>2.0612813370473537</v>
      </c>
      <c r="O26" s="74">
        <f t="shared" si="24"/>
        <v>1.2162162162162163E-2</v>
      </c>
      <c r="Q26" s="74">
        <f t="shared" si="26"/>
        <v>6.1349693251533744E-3</v>
      </c>
      <c r="R26" s="74">
        <f t="shared" si="27"/>
        <v>1.7873100983020553E-2</v>
      </c>
      <c r="S26" s="74">
        <f t="shared" si="28"/>
        <v>5.9684123025768913E-2</v>
      </c>
      <c r="T26" s="74">
        <f t="shared" si="29"/>
        <v>4.1756009479742694E-2</v>
      </c>
      <c r="U26" s="74">
        <f t="shared" si="30"/>
        <v>4.2279325409874571E-4</v>
      </c>
    </row>
    <row r="27" spans="2:21" x14ac:dyDescent="0.35">
      <c r="B27" s="41" t="s">
        <v>66</v>
      </c>
      <c r="C27" s="142">
        <v>479</v>
      </c>
      <c r="D27" s="142">
        <v>102</v>
      </c>
      <c r="E27" s="142">
        <v>-879</v>
      </c>
      <c r="F27" s="142">
        <v>-295</v>
      </c>
      <c r="G27" s="142">
        <v>-1057</v>
      </c>
      <c r="H27" s="5"/>
      <c r="I27" s="5"/>
      <c r="K27" s="75">
        <v>1</v>
      </c>
      <c r="L27" s="74">
        <f t="shared" si="25"/>
        <v>0.21294363256784968</v>
      </c>
      <c r="M27" s="74">
        <f t="shared" si="22"/>
        <v>-8.617647058823529</v>
      </c>
      <c r="N27" s="74">
        <f t="shared" si="23"/>
        <v>0.33560864618885095</v>
      </c>
      <c r="O27" s="74">
        <f t="shared" si="24"/>
        <v>3.5830508474576273</v>
      </c>
      <c r="Q27" s="74">
        <f t="shared" si="26"/>
        <v>-5.247589833479404E-2</v>
      </c>
      <c r="R27" s="74">
        <f t="shared" si="27"/>
        <v>-1.0128090557044981E-2</v>
      </c>
      <c r="S27" s="74">
        <f t="shared" si="28"/>
        <v>0.14613466334164588</v>
      </c>
      <c r="T27" s="74">
        <f t="shared" si="29"/>
        <v>1.6645976752059588E-2</v>
      </c>
      <c r="U27" s="74">
        <f t="shared" si="30"/>
        <v>4.9654718842486026E-2</v>
      </c>
    </row>
    <row r="28" spans="2:21" x14ac:dyDescent="0.35">
      <c r="B28" s="44" t="s">
        <v>67</v>
      </c>
      <c r="C28" s="146">
        <f>SUM(C23:C27)</f>
        <v>-9128</v>
      </c>
      <c r="D28" s="146">
        <f t="shared" ref="D28:G28" si="31">SUM(D23:D27)</f>
        <v>-10071</v>
      </c>
      <c r="E28" s="146">
        <f t="shared" si="31"/>
        <v>-6015</v>
      </c>
      <c r="F28" s="146">
        <f t="shared" si="31"/>
        <v>-17722</v>
      </c>
      <c r="G28" s="146">
        <f t="shared" si="31"/>
        <v>-21287</v>
      </c>
      <c r="H28" s="5"/>
      <c r="I28" s="5"/>
      <c r="K28" s="77">
        <v>1</v>
      </c>
      <c r="L28" s="78">
        <f>D28/C28</f>
        <v>1.1033085013146362</v>
      </c>
      <c r="M28" s="78">
        <f t="shared" ref="M28" si="32">E28/D28</f>
        <v>0.59725945784927015</v>
      </c>
      <c r="N28" s="78">
        <f t="shared" ref="N28" si="33">F28/E28</f>
        <v>2.9463009143807151</v>
      </c>
      <c r="O28" s="78">
        <f t="shared" ref="O28" si="34">G28/F28</f>
        <v>1.2011623970206522</v>
      </c>
      <c r="Q28" s="77">
        <v>1</v>
      </c>
      <c r="R28" s="77">
        <v>1</v>
      </c>
      <c r="S28" s="77">
        <v>1</v>
      </c>
      <c r="T28" s="77">
        <v>1</v>
      </c>
      <c r="U28" s="77">
        <v>1</v>
      </c>
    </row>
    <row r="29" spans="2:21" x14ac:dyDescent="0.35">
      <c r="B29" s="6" t="s">
        <v>68</v>
      </c>
      <c r="C29" s="142"/>
      <c r="D29" s="142"/>
      <c r="E29" s="142"/>
      <c r="F29" s="142"/>
      <c r="G29" s="142"/>
      <c r="H29" s="5"/>
      <c r="I29" s="5"/>
      <c r="K29" s="75"/>
      <c r="L29" s="74"/>
      <c r="M29" s="74"/>
      <c r="N29" s="74"/>
      <c r="O29" s="74"/>
      <c r="Q29" s="79" t="b">
        <f>SUM(Q23:Q27)=Q28</f>
        <v>1</v>
      </c>
      <c r="R29" s="79" t="b">
        <f t="shared" ref="R29:U29" si="35">SUM(R23:R27)=R28</f>
        <v>1</v>
      </c>
      <c r="S29" s="79" t="b">
        <f t="shared" si="35"/>
        <v>1</v>
      </c>
      <c r="T29" s="79" t="b">
        <f t="shared" si="35"/>
        <v>1</v>
      </c>
      <c r="U29" s="79" t="b">
        <f t="shared" si="35"/>
        <v>1</v>
      </c>
    </row>
    <row r="30" spans="2:21" x14ac:dyDescent="0.35">
      <c r="B30" s="41" t="s">
        <v>69</v>
      </c>
      <c r="C30" s="142">
        <v>-4656</v>
      </c>
      <c r="D30" s="142">
        <v>-324</v>
      </c>
      <c r="E30" s="142">
        <v>193</v>
      </c>
      <c r="F30" s="142">
        <v>-34</v>
      </c>
      <c r="G30" s="142">
        <v>512</v>
      </c>
      <c r="H30" s="5"/>
      <c r="I30" s="5"/>
      <c r="K30" s="75">
        <v>1</v>
      </c>
      <c r="L30" s="74">
        <f>D30/C30</f>
        <v>6.9587628865979384E-2</v>
      </c>
      <c r="M30" s="74">
        <f t="shared" ref="M30" si="36">E30/D30</f>
        <v>-0.59567901234567899</v>
      </c>
      <c r="N30" s="74">
        <f t="shared" ref="N30" si="37">F30/E30</f>
        <v>-0.17616580310880828</v>
      </c>
      <c r="O30" s="74">
        <f t="shared" ref="O30" si="38">G30/F30</f>
        <v>-15.058823529411764</v>
      </c>
      <c r="Q30" s="74">
        <f>C30/$C$40</f>
        <v>0.32561717602629553</v>
      </c>
      <c r="R30" s="74">
        <f>D30/$D$40</f>
        <v>2.0102996835639386E-2</v>
      </c>
      <c r="S30" s="74">
        <f>E30/$E$40</f>
        <v>-8.4545295251445586E-3</v>
      </c>
      <c r="T30" s="74">
        <f>F30/$F$40</f>
        <v>1.9954222665649391E-3</v>
      </c>
      <c r="U30" s="74">
        <f>G30/$G$40</f>
        <v>-3.8169077083643956E-2</v>
      </c>
    </row>
    <row r="31" spans="2:21" x14ac:dyDescent="0.35">
      <c r="B31" s="41" t="s">
        <v>70</v>
      </c>
      <c r="C31" s="142">
        <v>5492</v>
      </c>
      <c r="D31" s="142"/>
      <c r="E31" s="142">
        <v>6945</v>
      </c>
      <c r="F31" s="142">
        <v>5041</v>
      </c>
      <c r="G31" s="142">
        <v>4967</v>
      </c>
      <c r="H31" s="5"/>
      <c r="I31" s="5"/>
      <c r="K31" s="75">
        <v>1</v>
      </c>
      <c r="L31" s="74"/>
      <c r="M31" s="74">
        <f>E31/C31</f>
        <v>1.2645666423889295</v>
      </c>
      <c r="N31" s="74">
        <f t="shared" ref="N31:N45" si="39">F31/E31</f>
        <v>0.72584593232541395</v>
      </c>
      <c r="O31" s="74">
        <f t="shared" ref="O31:O45" si="40">G31/F31</f>
        <v>0.98532037294187658</v>
      </c>
      <c r="Q31" s="74">
        <f t="shared" ref="Q31:Q39" si="41">C31/$C$40</f>
        <v>-0.38408280299321629</v>
      </c>
      <c r="R31" s="74">
        <f t="shared" ref="R31:R39" si="42">D31/$D$40</f>
        <v>0</v>
      </c>
      <c r="S31" s="74">
        <f t="shared" ref="S31:S39" si="43">E31/$E$40</f>
        <v>-0.30423164534781849</v>
      </c>
      <c r="T31" s="74">
        <f t="shared" ref="T31:T39" si="44">F31/$F$40</f>
        <v>-0.2958506954633488</v>
      </c>
      <c r="U31" s="74">
        <f t="shared" ref="U31:U39" si="45">G31/$G$40</f>
        <v>-0.37028477709855373</v>
      </c>
    </row>
    <row r="32" spans="2:21" x14ac:dyDescent="0.35">
      <c r="B32" s="41" t="s">
        <v>71</v>
      </c>
      <c r="C32" s="142">
        <v>-1907</v>
      </c>
      <c r="D32" s="142">
        <v>-5382</v>
      </c>
      <c r="E32" s="142">
        <v>-13010</v>
      </c>
      <c r="F32" s="142">
        <v>-2689</v>
      </c>
      <c r="G32" s="142">
        <v>-4217</v>
      </c>
      <c r="H32" s="5"/>
      <c r="I32" s="5"/>
      <c r="K32" s="75">
        <v>1</v>
      </c>
      <c r="L32" s="74">
        <f t="shared" ref="L32:L45" si="46">D32/C32</f>
        <v>2.8222338751966438</v>
      </c>
      <c r="M32" s="74">
        <f t="shared" ref="M32:M45" si="47">E32/D32</f>
        <v>2.4173169825343739</v>
      </c>
      <c r="N32" s="74">
        <f t="shared" si="39"/>
        <v>0.20668716372021523</v>
      </c>
      <c r="O32" s="74">
        <f t="shared" si="40"/>
        <v>1.5682409817776124</v>
      </c>
      <c r="Q32" s="74">
        <f t="shared" si="41"/>
        <v>0.13336596964822714</v>
      </c>
      <c r="R32" s="74">
        <f t="shared" si="42"/>
        <v>0.33393311410312093</v>
      </c>
      <c r="S32" s="74">
        <f t="shared" si="43"/>
        <v>0.56991414052917466</v>
      </c>
      <c r="T32" s="74">
        <f t="shared" si="44"/>
        <v>0.15781442572920945</v>
      </c>
      <c r="U32" s="74">
        <f t="shared" si="45"/>
        <v>0.31437304308930969</v>
      </c>
    </row>
    <row r="33" spans="2:23" x14ac:dyDescent="0.35">
      <c r="B33" s="41" t="s">
        <v>72</v>
      </c>
      <c r="C33" s="142"/>
      <c r="D33" s="142"/>
      <c r="E33" s="142">
        <v>-2317</v>
      </c>
      <c r="F33" s="142"/>
      <c r="G33" s="142"/>
      <c r="H33" s="5"/>
      <c r="I33" s="5"/>
      <c r="K33" s="75">
        <v>1</v>
      </c>
      <c r="L33" s="74"/>
      <c r="M33" s="74"/>
      <c r="N33" s="74"/>
      <c r="O33" s="74"/>
      <c r="Q33" s="74">
        <f t="shared" si="41"/>
        <v>0</v>
      </c>
      <c r="R33" s="74">
        <f t="shared" si="42"/>
        <v>0</v>
      </c>
      <c r="S33" s="74">
        <f t="shared" si="43"/>
        <v>0.1014981601541966</v>
      </c>
      <c r="T33" s="74">
        <f t="shared" si="44"/>
        <v>0</v>
      </c>
      <c r="U33" s="74">
        <f t="shared" si="45"/>
        <v>0</v>
      </c>
    </row>
    <row r="34" spans="2:23" x14ac:dyDescent="0.35">
      <c r="B34" s="41" t="s">
        <v>73</v>
      </c>
      <c r="C34" s="142">
        <v>-6048</v>
      </c>
      <c r="D34" s="142">
        <v>-6116</v>
      </c>
      <c r="E34" s="142">
        <v>-6152</v>
      </c>
      <c r="F34" s="142">
        <v>-6114</v>
      </c>
      <c r="G34" s="142">
        <v>-6140</v>
      </c>
      <c r="H34" s="5"/>
      <c r="I34" s="5"/>
      <c r="K34" s="75">
        <v>1</v>
      </c>
      <c r="L34" s="74">
        <f t="shared" si="46"/>
        <v>1.0112433862433863</v>
      </c>
      <c r="M34" s="74">
        <f t="shared" si="47"/>
        <v>1.0058862001308044</v>
      </c>
      <c r="N34" s="74">
        <f t="shared" si="39"/>
        <v>0.99382314694408325</v>
      </c>
      <c r="O34" s="74">
        <f t="shared" si="40"/>
        <v>1.0042525351651945</v>
      </c>
      <c r="Q34" s="74">
        <f t="shared" si="41"/>
        <v>0.42296664102384784</v>
      </c>
      <c r="R34" s="74">
        <f t="shared" si="42"/>
        <v>0.37947508841595828</v>
      </c>
      <c r="S34" s="74">
        <f t="shared" si="43"/>
        <v>0.26949360434554054</v>
      </c>
      <c r="T34" s="74">
        <f t="shared" si="44"/>
        <v>0.35882387464053056</v>
      </c>
      <c r="U34" s="74">
        <f t="shared" si="45"/>
        <v>0.45773072908901147</v>
      </c>
    </row>
    <row r="35" spans="2:23" x14ac:dyDescent="0.35">
      <c r="B35" s="41" t="s">
        <v>74</v>
      </c>
      <c r="C35" s="142">
        <v>-5717</v>
      </c>
      <c r="D35" s="142">
        <v>-2625</v>
      </c>
      <c r="E35" s="142">
        <v>-9787</v>
      </c>
      <c r="F35" s="142">
        <v>-9920</v>
      </c>
      <c r="G35" s="142">
        <v>-2779</v>
      </c>
      <c r="H35" s="5"/>
      <c r="I35" s="5"/>
      <c r="K35" s="75">
        <v>1</v>
      </c>
      <c r="L35" s="74">
        <f t="shared" si="46"/>
        <v>0.45915690047227564</v>
      </c>
      <c r="M35" s="74">
        <f t="shared" si="47"/>
        <v>3.7283809523809524</v>
      </c>
      <c r="N35" s="74">
        <f t="shared" si="39"/>
        <v>1.0135894554000204</v>
      </c>
      <c r="O35" s="74">
        <f t="shared" si="40"/>
        <v>0.28014112903225807</v>
      </c>
      <c r="Q35" s="74">
        <f t="shared" si="41"/>
        <v>0.39981816910273443</v>
      </c>
      <c r="R35" s="74">
        <f t="shared" si="42"/>
        <v>0.1628715021405969</v>
      </c>
      <c r="S35" s="74">
        <f t="shared" si="43"/>
        <v>0.42872787804450674</v>
      </c>
      <c r="T35" s="74">
        <f t="shared" si="44"/>
        <v>0.58219379071541755</v>
      </c>
      <c r="U35" s="74">
        <f t="shared" si="45"/>
        <v>0.20717161174891904</v>
      </c>
    </row>
    <row r="36" spans="2:23" x14ac:dyDescent="0.35">
      <c r="B36" s="41" t="s">
        <v>75</v>
      </c>
      <c r="C36" s="142">
        <v>-555</v>
      </c>
      <c r="D36" s="142">
        <v>-434</v>
      </c>
      <c r="E36" s="142">
        <v>-424</v>
      </c>
      <c r="F36" s="142">
        <v>-444</v>
      </c>
      <c r="G36" s="142">
        <v>-763</v>
      </c>
      <c r="H36" s="5"/>
      <c r="I36" s="5"/>
      <c r="K36" s="75">
        <v>1</v>
      </c>
      <c r="L36" s="74">
        <f t="shared" si="46"/>
        <v>0.78198198198198199</v>
      </c>
      <c r="M36" s="74">
        <f t="shared" si="47"/>
        <v>0.97695852534562211</v>
      </c>
      <c r="N36" s="74">
        <f t="shared" si="39"/>
        <v>1.0471698113207548</v>
      </c>
      <c r="O36" s="74">
        <f t="shared" si="40"/>
        <v>1.7184684684684686</v>
      </c>
      <c r="Q36" s="74">
        <f t="shared" si="41"/>
        <v>3.8813903070144769E-2</v>
      </c>
      <c r="R36" s="74">
        <f t="shared" si="42"/>
        <v>2.6928088353912017E-2</v>
      </c>
      <c r="S36" s="74">
        <f t="shared" si="43"/>
        <v>1.8573681443840896E-2</v>
      </c>
      <c r="T36" s="74">
        <f t="shared" si="44"/>
        <v>2.6057867245730382E-2</v>
      </c>
      <c r="U36" s="74">
        <f t="shared" si="45"/>
        <v>5.6880870732070973E-2</v>
      </c>
    </row>
    <row r="37" spans="2:23" x14ac:dyDescent="0.35">
      <c r="B37" s="41" t="s">
        <v>76</v>
      </c>
      <c r="C37" s="142"/>
      <c r="D37" s="142"/>
      <c r="E37" s="142"/>
      <c r="F37" s="142">
        <v>-827</v>
      </c>
      <c r="G37" s="142">
        <v>-3462</v>
      </c>
      <c r="H37" s="5"/>
      <c r="I37" s="5"/>
      <c r="K37" s="76"/>
      <c r="L37" s="74"/>
      <c r="M37" s="74"/>
      <c r="N37" s="74"/>
      <c r="O37" s="74"/>
      <c r="Q37" s="74">
        <f t="shared" si="41"/>
        <v>0</v>
      </c>
      <c r="R37" s="74">
        <f t="shared" si="42"/>
        <v>0</v>
      </c>
      <c r="S37" s="74">
        <f t="shared" si="43"/>
        <v>0</v>
      </c>
      <c r="T37" s="74">
        <f t="shared" si="44"/>
        <v>4.8535712189682494E-2</v>
      </c>
      <c r="U37" s="74">
        <f t="shared" si="45"/>
        <v>0.25808856418667064</v>
      </c>
    </row>
    <row r="38" spans="2:23" x14ac:dyDescent="0.35">
      <c r="B38" s="41" t="s">
        <v>77</v>
      </c>
      <c r="C38" s="142">
        <v>52</v>
      </c>
      <c r="D38" s="142">
        <v>140</v>
      </c>
      <c r="E38" s="142">
        <v>3239</v>
      </c>
      <c r="F38" s="142">
        <v>66</v>
      </c>
      <c r="G38" s="142">
        <v>716</v>
      </c>
      <c r="H38" s="5"/>
      <c r="I38" s="5"/>
      <c r="K38" s="75">
        <v>1</v>
      </c>
      <c r="L38" s="74">
        <f t="shared" si="46"/>
        <v>2.6923076923076925</v>
      </c>
      <c r="M38" s="74">
        <f t="shared" si="47"/>
        <v>23.135714285714286</v>
      </c>
      <c r="N38" s="74">
        <f t="shared" si="39"/>
        <v>2.037665946279716E-2</v>
      </c>
      <c r="O38" s="74">
        <f t="shared" si="40"/>
        <v>10.848484848484848</v>
      </c>
      <c r="Q38" s="74">
        <f t="shared" si="41"/>
        <v>-3.6366179453108608E-3</v>
      </c>
      <c r="R38" s="74">
        <f t="shared" si="42"/>
        <v>-8.6864801141651668E-3</v>
      </c>
      <c r="S38" s="74">
        <f t="shared" si="43"/>
        <v>-0.14188715612405817</v>
      </c>
      <c r="T38" s="74">
        <f t="shared" si="44"/>
        <v>-3.8734667527437058E-3</v>
      </c>
      <c r="U38" s="74">
        <f t="shared" si="45"/>
        <v>-5.3377068734158345E-2</v>
      </c>
    </row>
    <row r="39" spans="2:23" x14ac:dyDescent="0.35">
      <c r="B39" s="41" t="s">
        <v>78</v>
      </c>
      <c r="C39" s="142">
        <v>-960</v>
      </c>
      <c r="D39" s="142">
        <v>-1376</v>
      </c>
      <c r="E39" s="142">
        <v>-1515</v>
      </c>
      <c r="F39" s="142">
        <v>-2118</v>
      </c>
      <c r="G39" s="142">
        <v>-2248</v>
      </c>
      <c r="H39" s="5"/>
      <c r="I39" s="5"/>
      <c r="K39" s="75">
        <v>1</v>
      </c>
      <c r="L39" s="74">
        <f t="shared" si="46"/>
        <v>1.4333333333333333</v>
      </c>
      <c r="M39" s="74">
        <f t="shared" si="47"/>
        <v>1.101017441860465</v>
      </c>
      <c r="N39" s="74">
        <f t="shared" si="39"/>
        <v>1.3980198019801979</v>
      </c>
      <c r="O39" s="74">
        <f t="shared" si="40"/>
        <v>1.0613786591123702</v>
      </c>
      <c r="Q39" s="74">
        <f t="shared" si="41"/>
        <v>6.7137562067277431E-2</v>
      </c>
      <c r="R39" s="74">
        <f t="shared" si="42"/>
        <v>8.5375690264937645E-2</v>
      </c>
      <c r="S39" s="74">
        <f t="shared" si="43"/>
        <v>6.6365866479761698E-2</v>
      </c>
      <c r="T39" s="74">
        <f t="shared" si="44"/>
        <v>0.12430306942895709</v>
      </c>
      <c r="U39" s="74">
        <f t="shared" si="45"/>
        <v>0.16758610407037425</v>
      </c>
    </row>
    <row r="40" spans="2:23" x14ac:dyDescent="0.35">
      <c r="B40" s="44" t="s">
        <v>79</v>
      </c>
      <c r="C40" s="146">
        <f>SUM(C30:C39)</f>
        <v>-14299</v>
      </c>
      <c r="D40" s="146">
        <f>SUM(D30:D39)</f>
        <v>-16117</v>
      </c>
      <c r="E40" s="146">
        <f t="shared" ref="E40:G40" si="48">SUM(E30:E39)</f>
        <v>-22828</v>
      </c>
      <c r="F40" s="146">
        <f t="shared" si="48"/>
        <v>-17039</v>
      </c>
      <c r="G40" s="146">
        <f t="shared" si="48"/>
        <v>-13414</v>
      </c>
      <c r="H40" s="5"/>
      <c r="I40" s="5"/>
      <c r="K40" s="77">
        <v>1</v>
      </c>
      <c r="L40" s="78">
        <f t="shared" si="46"/>
        <v>1.1271417581649066</v>
      </c>
      <c r="M40" s="78">
        <f t="shared" si="47"/>
        <v>1.4163926289011604</v>
      </c>
      <c r="N40" s="78">
        <f t="shared" si="39"/>
        <v>0.74640792009812507</v>
      </c>
      <c r="O40" s="78">
        <f t="shared" si="40"/>
        <v>0.78725277305006158</v>
      </c>
      <c r="Q40" s="77">
        <v>1</v>
      </c>
      <c r="R40" s="77">
        <v>1</v>
      </c>
      <c r="S40" s="77">
        <v>1</v>
      </c>
      <c r="T40" s="77">
        <v>1</v>
      </c>
      <c r="U40" s="77">
        <v>1</v>
      </c>
    </row>
    <row r="41" spans="2:23" x14ac:dyDescent="0.35">
      <c r="B41" s="12" t="s">
        <v>80</v>
      </c>
      <c r="C41" s="142">
        <v>-69</v>
      </c>
      <c r="D41" s="142">
        <v>235</v>
      </c>
      <c r="E41" s="142">
        <v>-140</v>
      </c>
      <c r="F41" s="142">
        <v>-73</v>
      </c>
      <c r="G41" s="142">
        <v>69</v>
      </c>
      <c r="H41" s="5"/>
      <c r="I41" s="5"/>
      <c r="K41" s="75">
        <v>1</v>
      </c>
      <c r="L41" s="74">
        <f t="shared" si="46"/>
        <v>-3.4057971014492754</v>
      </c>
      <c r="M41" s="74">
        <f t="shared" si="47"/>
        <v>-0.5957446808510638</v>
      </c>
      <c r="N41" s="74">
        <f t="shared" si="39"/>
        <v>0.52142857142857146</v>
      </c>
      <c r="O41" s="74">
        <f t="shared" si="40"/>
        <v>-0.9452054794520548</v>
      </c>
      <c r="Q41" s="83" t="b">
        <f>SUM(Q30:Q39)=Q40</f>
        <v>1</v>
      </c>
      <c r="R41" s="83" t="b">
        <f t="shared" ref="R41:U41" si="49">SUM(R30:R39)=R40</f>
        <v>1</v>
      </c>
      <c r="S41" s="83" t="b">
        <f t="shared" si="49"/>
        <v>1</v>
      </c>
      <c r="T41" s="83" t="b">
        <f t="shared" si="49"/>
        <v>1</v>
      </c>
      <c r="U41" s="83" t="b">
        <f t="shared" si="49"/>
        <v>1</v>
      </c>
      <c r="W41" s="99" t="s">
        <v>143</v>
      </c>
    </row>
    <row r="42" spans="2:23" x14ac:dyDescent="0.35">
      <c r="B42" s="8" t="s">
        <v>81</v>
      </c>
      <c r="C42" s="142">
        <v>1759</v>
      </c>
      <c r="D42" s="142">
        <v>10121</v>
      </c>
      <c r="E42" s="142">
        <v>-4802</v>
      </c>
      <c r="F42" s="142">
        <v>-5993</v>
      </c>
      <c r="G42" s="142">
        <v>1094</v>
      </c>
      <c r="H42" s="5"/>
      <c r="I42" s="5"/>
      <c r="K42" s="75">
        <v>1</v>
      </c>
      <c r="L42" s="74">
        <f t="shared" si="46"/>
        <v>5.753837407617965</v>
      </c>
      <c r="M42" s="74">
        <f t="shared" si="47"/>
        <v>-0.47445904554885882</v>
      </c>
      <c r="N42" s="74">
        <f t="shared" si="39"/>
        <v>1.2480216576426488</v>
      </c>
      <c r="O42" s="74">
        <f t="shared" si="40"/>
        <v>-0.18254630402135824</v>
      </c>
    </row>
    <row r="43" spans="2:23" x14ac:dyDescent="0.35">
      <c r="B43" s="12" t="s">
        <v>82</v>
      </c>
      <c r="C43" s="142"/>
      <c r="D43" s="142">
        <v>-1848</v>
      </c>
      <c r="E43" s="142">
        <v>1848</v>
      </c>
      <c r="F43" s="142"/>
      <c r="G43" s="142"/>
      <c r="H43" s="5"/>
      <c r="I43" s="5"/>
      <c r="K43" s="76"/>
      <c r="L43" s="74"/>
      <c r="M43" s="74"/>
      <c r="N43" s="74"/>
      <c r="O43" s="74"/>
    </row>
    <row r="44" spans="2:23" x14ac:dyDescent="0.35">
      <c r="B44" s="147" t="s">
        <v>83</v>
      </c>
      <c r="C44" s="148">
        <v>7756</v>
      </c>
      <c r="D44" s="148">
        <v>9515</v>
      </c>
      <c r="E44" s="148">
        <v>17788</v>
      </c>
      <c r="F44" s="148">
        <v>14834</v>
      </c>
      <c r="G44" s="148">
        <v>8841</v>
      </c>
      <c r="H44" s="5"/>
      <c r="I44" s="5"/>
      <c r="K44" s="75">
        <v>1</v>
      </c>
      <c r="L44" s="74">
        <f t="shared" si="46"/>
        <v>1.2267921609076844</v>
      </c>
      <c r="M44" s="74">
        <f t="shared" si="47"/>
        <v>1.8694692590646347</v>
      </c>
      <c r="N44" s="74">
        <f t="shared" si="39"/>
        <v>0.83393298853159437</v>
      </c>
      <c r="O44" s="74">
        <f t="shared" si="40"/>
        <v>0.59599568558716465</v>
      </c>
    </row>
    <row r="45" spans="2:23" ht="15" thickBot="1" x14ac:dyDescent="0.4">
      <c r="B45" s="34" t="s">
        <v>84</v>
      </c>
      <c r="C45" s="149">
        <f>C21+C28+C40+C44</f>
        <v>9587</v>
      </c>
      <c r="D45" s="149">
        <f t="shared" ref="D45:G45" si="50">D21+D28+D40+D44</f>
        <v>19399</v>
      </c>
      <c r="E45" s="149">
        <f t="shared" si="50"/>
        <v>13128</v>
      </c>
      <c r="F45" s="149">
        <f t="shared" si="50"/>
        <v>8919</v>
      </c>
      <c r="G45" s="149">
        <f t="shared" si="50"/>
        <v>9863</v>
      </c>
      <c r="H45" s="5"/>
      <c r="I45" s="5"/>
      <c r="K45" s="75">
        <v>1</v>
      </c>
      <c r="L45" s="74">
        <f t="shared" si="46"/>
        <v>2.0234692813184521</v>
      </c>
      <c r="M45" s="74">
        <f t="shared" si="47"/>
        <v>0.67673591422238255</v>
      </c>
      <c r="N45" s="74">
        <f t="shared" si="39"/>
        <v>0.67938756855575866</v>
      </c>
      <c r="O45" s="74">
        <f t="shared" si="40"/>
        <v>1.1058414620473147</v>
      </c>
    </row>
    <row r="46" spans="2:23" x14ac:dyDescent="0.35">
      <c r="B46" s="150" t="s">
        <v>103</v>
      </c>
      <c r="C46" s="151">
        <f>C45-C44</f>
        <v>1831</v>
      </c>
      <c r="D46" s="151">
        <f t="shared" ref="D46:F46" si="51">D45-D44</f>
        <v>9884</v>
      </c>
      <c r="E46" s="151">
        <f t="shared" si="51"/>
        <v>-4660</v>
      </c>
      <c r="F46" s="151">
        <f t="shared" si="51"/>
        <v>-5915</v>
      </c>
      <c r="G46" s="151">
        <f>G45-G44</f>
        <v>1022</v>
      </c>
      <c r="H46" s="5"/>
      <c r="I46" s="5"/>
      <c r="K46" s="71"/>
    </row>
    <row r="47" spans="2:23" x14ac:dyDescent="0.35">
      <c r="B47" s="139" t="s">
        <v>196</v>
      </c>
      <c r="C47" s="140">
        <f>C21+C23</f>
        <v>14553</v>
      </c>
      <c r="D47" s="140">
        <f t="shared" ref="D47:G47" si="52">D21+D23</f>
        <v>25808</v>
      </c>
      <c r="E47" s="140">
        <f t="shared" si="52"/>
        <v>11077</v>
      </c>
      <c r="F47" s="140">
        <f t="shared" si="52"/>
        <v>11989</v>
      </c>
      <c r="G47" s="140">
        <f t="shared" si="52"/>
        <v>15117</v>
      </c>
      <c r="H47" s="5"/>
      <c r="I47" s="5"/>
      <c r="K47" s="71"/>
    </row>
    <row r="48" spans="2:23" x14ac:dyDescent="0.35">
      <c r="B48" s="1"/>
      <c r="C48" s="2"/>
      <c r="D48" s="2"/>
      <c r="E48" s="2"/>
      <c r="F48" s="2"/>
      <c r="G48" s="2"/>
      <c r="K48" s="71"/>
    </row>
    <row r="49" spans="2:11" x14ac:dyDescent="0.35">
      <c r="B49" s="1"/>
      <c r="C49" s="2"/>
      <c r="D49" s="2"/>
      <c r="E49" s="2"/>
      <c r="F49" s="2"/>
      <c r="G49" s="2"/>
      <c r="K49" s="71"/>
    </row>
    <row r="50" spans="2:11" x14ac:dyDescent="0.35">
      <c r="C50" s="72"/>
      <c r="D50" s="72"/>
      <c r="E50" s="72"/>
      <c r="F50" s="72"/>
      <c r="G50" s="72"/>
    </row>
  </sheetData>
  <hyperlinks>
    <hyperlink ref="W41" location="'Ratio Analysis'!A1" display="view remaining ratios" xr:uid="{48F7E1FE-FFD2-48F6-A7C9-666CA1654468}"/>
  </hyperlinks>
  <pageMargins left="0.7" right="0.7" top="0.75" bottom="0.75" header="0.3" footer="0.3"/>
  <ignoredErrors>
    <ignoredError sqref="M31" formula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Option Button 1">
              <controlPr defaultSize="0" autoFill="0" autoLine="0" autoPict="0">
                <anchor moveWithCells="1">
                  <from>
                    <xdr:col>21</xdr:col>
                    <xdr:colOff>590550</xdr:colOff>
                    <xdr:row>1</xdr:row>
                    <xdr:rowOff>69850</xdr:rowOff>
                  </from>
                  <to>
                    <xdr:col>23</xdr:col>
                    <xdr:colOff>558800</xdr:colOff>
                    <xdr:row>3</xdr:row>
                    <xdr:rowOff>120650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Option Button 2">
              <controlPr defaultSize="0" autoFill="0" autoLine="0" autoPict="0">
                <anchor moveWithCells="1">
                  <from>
                    <xdr:col>24</xdr:col>
                    <xdr:colOff>234950</xdr:colOff>
                    <xdr:row>1</xdr:row>
                    <xdr:rowOff>63500</xdr:rowOff>
                  </from>
                  <to>
                    <xdr:col>26</xdr:col>
                    <xdr:colOff>222250</xdr:colOff>
                    <xdr:row>3</xdr:row>
                    <xdr:rowOff>120650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Option Button 3">
              <controlPr defaultSize="0" autoFill="0" autoLine="0" autoPict="0">
                <anchor moveWithCells="1">
                  <from>
                    <xdr:col>26</xdr:col>
                    <xdr:colOff>501650</xdr:colOff>
                    <xdr:row>1</xdr:row>
                    <xdr:rowOff>63500</xdr:rowOff>
                  </from>
                  <to>
                    <xdr:col>28</xdr:col>
                    <xdr:colOff>488950</xdr:colOff>
                    <xdr:row>3</xdr:row>
                    <xdr:rowOff>120650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Option Button 4">
              <controlPr defaultSize="0" autoFill="0" autoLine="0" autoPict="0">
                <anchor moveWithCells="1">
                  <from>
                    <xdr:col>29</xdr:col>
                    <xdr:colOff>158750</xdr:colOff>
                    <xdr:row>1</xdr:row>
                    <xdr:rowOff>63500</xdr:rowOff>
                  </from>
                  <to>
                    <xdr:col>31</xdr:col>
                    <xdr:colOff>139700</xdr:colOff>
                    <xdr:row>3</xdr:row>
                    <xdr:rowOff>120650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Option Button 5">
              <controlPr defaultSize="0" autoFill="0" autoLine="0" autoPict="0">
                <anchor moveWithCells="1">
                  <from>
                    <xdr:col>31</xdr:col>
                    <xdr:colOff>438150</xdr:colOff>
                    <xdr:row>1</xdr:row>
                    <xdr:rowOff>69850</xdr:rowOff>
                  </from>
                  <to>
                    <xdr:col>33</xdr:col>
                    <xdr:colOff>406400</xdr:colOff>
                    <xdr:row>3</xdr:row>
                    <xdr:rowOff>120650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negative="1" xr2:uid="{1A9E183F-45AC-4EBE-A28D-A2C280EBB9B1}">
          <x14:colorSeries theme="5" tint="0.39997558519241921"/>
          <x14:colorNegative rgb="FF7A0000"/>
          <x14:colorAxis rgb="FF000000"/>
          <x14:colorMarkers rgb="FFD00000"/>
          <x14:colorFirst rgb="FFD00000"/>
          <x14:colorLast rgb="FFD00000"/>
          <x14:colorHigh theme="5" tint="-0.499984740745262"/>
          <x14:colorLow rgb="FFD00000"/>
          <x14:sparklines>
            <x14:sparkline>
              <xm:f>'Cash Flow St Analysis'!C6:G6</xm:f>
              <xm:sqref>I6</xm:sqref>
            </x14:sparkline>
            <x14:sparkline>
              <xm:f>'Cash Flow St Analysis'!C7:G7</xm:f>
              <xm:sqref>I7</xm:sqref>
            </x14:sparkline>
            <x14:sparkline>
              <xm:f>'Cash Flow St Analysis'!C8:G8</xm:f>
              <xm:sqref>I8</xm:sqref>
            </x14:sparkline>
            <x14:sparkline>
              <xm:f>'Cash Flow St Analysis'!C9:G9</xm:f>
              <xm:sqref>I9</xm:sqref>
            </x14:sparkline>
            <x14:sparkline>
              <xm:f>'Cash Flow St Analysis'!C10:G10</xm:f>
              <xm:sqref>I10</xm:sqref>
            </x14:sparkline>
            <x14:sparkline>
              <xm:f>'Cash Flow St Analysis'!C11:G11</xm:f>
              <xm:sqref>I11</xm:sqref>
            </x14:sparkline>
            <x14:sparkline>
              <xm:f>'Cash Flow St Analysis'!C12:G12</xm:f>
              <xm:sqref>I12</xm:sqref>
            </x14:sparkline>
            <x14:sparkline>
              <xm:f>'Cash Flow St Analysis'!C13:G13</xm:f>
              <xm:sqref>I13</xm:sqref>
            </x14:sparkline>
            <x14:sparkline>
              <xm:f>'Cash Flow St Analysis'!C14:G14</xm:f>
              <xm:sqref>I14</xm:sqref>
            </x14:sparkline>
            <x14:sparkline>
              <xm:f>'Cash Flow St Analysis'!C15:G15</xm:f>
              <xm:sqref>I15</xm:sqref>
            </x14:sparkline>
            <x14:sparkline>
              <xm:f>'Cash Flow St Analysis'!C16:G16</xm:f>
              <xm:sqref>I16</xm:sqref>
            </x14:sparkline>
            <x14:sparkline>
              <xm:f>'Cash Flow St Analysis'!C17:G17</xm:f>
              <xm:sqref>I17</xm:sqref>
            </x14:sparkline>
            <x14:sparkline>
              <xm:f>'Cash Flow St Analysis'!C18:G18</xm:f>
              <xm:sqref>I18</xm:sqref>
            </x14:sparkline>
            <x14:sparkline>
              <xm:f>'Cash Flow St Analysis'!C19:G19</xm:f>
              <xm:sqref>I19</xm:sqref>
            </x14:sparkline>
            <x14:sparkline>
              <xm:f>'Cash Flow St Analysis'!C20:G20</xm:f>
              <xm:sqref>I20</xm:sqref>
            </x14:sparkline>
            <x14:sparkline>
              <xm:f>'Cash Flow St Analysis'!C21:G21</xm:f>
              <xm:sqref>I21</xm:sqref>
            </x14:sparkline>
          </x14:sparklines>
        </x14:sparklineGroup>
        <x14:sparklineGroup type="column" displayEmptyCellsAs="gap" high="1" negative="1" xr2:uid="{36C5C37E-2F9C-4B77-B692-73E08A8034F2}">
          <x14:colorSeries theme="5" tint="0.39997558519241921"/>
          <x14:colorNegative rgb="FF7A0000"/>
          <x14:colorAxis rgb="FF000000"/>
          <x14:colorMarkers rgb="FFD00000"/>
          <x14:colorFirst rgb="FFD00000"/>
          <x14:colorLast rgb="FFD00000"/>
          <x14:colorHigh theme="5" tint="-0.499984740745262"/>
          <x14:colorLow rgb="FFD00000"/>
          <x14:sparklines>
            <x14:sparkline>
              <xm:f>'Cash Flow St Analysis'!C23:G23</xm:f>
              <xm:sqref>I23</xm:sqref>
            </x14:sparkline>
            <x14:sparkline>
              <xm:f>'Cash Flow St Analysis'!C24:G24</xm:f>
              <xm:sqref>I24</xm:sqref>
            </x14:sparkline>
            <x14:sparkline>
              <xm:f>'Cash Flow St Analysis'!C25:G25</xm:f>
              <xm:sqref>I25</xm:sqref>
            </x14:sparkline>
            <x14:sparkline>
              <xm:f>'Cash Flow St Analysis'!C26:G26</xm:f>
              <xm:sqref>I26</xm:sqref>
            </x14:sparkline>
            <x14:sparkline>
              <xm:f>'Cash Flow St Analysis'!C27:G27</xm:f>
              <xm:sqref>I27</xm:sqref>
            </x14:sparkline>
            <x14:sparkline>
              <xm:f>'Cash Flow St Analysis'!C28:G28</xm:f>
              <xm:sqref>I28</xm:sqref>
            </x14:sparkline>
          </x14:sparklines>
        </x14:sparklineGroup>
        <x14:sparklineGroup type="column" displayEmptyCellsAs="gap" high="1" negative="1" xr2:uid="{93D3799C-E4CD-47C6-9C48-B0D7055E5BF9}">
          <x14:colorSeries theme="5" tint="0.39997558519241921"/>
          <x14:colorNegative rgb="FF7A0000"/>
          <x14:colorAxis rgb="FF000000"/>
          <x14:colorMarkers rgb="FFD00000"/>
          <x14:colorFirst rgb="FFD00000"/>
          <x14:colorLast rgb="FFD00000"/>
          <x14:colorHigh theme="5" tint="-0.499984740745262"/>
          <x14:colorLow rgb="FFD00000"/>
          <x14:sparklines>
            <x14:sparkline>
              <xm:f>'Cash Flow St Analysis'!C30:G30</xm:f>
              <xm:sqref>I30</xm:sqref>
            </x14:sparkline>
            <x14:sparkline>
              <xm:f>'Cash Flow St Analysis'!C31:G31</xm:f>
              <xm:sqref>I31</xm:sqref>
            </x14:sparkline>
            <x14:sparkline>
              <xm:f>'Cash Flow St Analysis'!C32:G32</xm:f>
              <xm:sqref>I32</xm:sqref>
            </x14:sparkline>
            <x14:sparkline>
              <xm:f>'Cash Flow St Analysis'!C33:G33</xm:f>
              <xm:sqref>I33</xm:sqref>
            </x14:sparkline>
            <x14:sparkline>
              <xm:f>'Cash Flow St Analysis'!C34:G34</xm:f>
              <xm:sqref>I34</xm:sqref>
            </x14:sparkline>
            <x14:sparkline>
              <xm:f>'Cash Flow St Analysis'!C35:G35</xm:f>
              <xm:sqref>I35</xm:sqref>
            </x14:sparkline>
            <x14:sparkline>
              <xm:f>'Cash Flow St Analysis'!C36:G36</xm:f>
              <xm:sqref>I36</xm:sqref>
            </x14:sparkline>
            <x14:sparkline>
              <xm:f>'Cash Flow St Analysis'!C37:G37</xm:f>
              <xm:sqref>I37</xm:sqref>
            </x14:sparkline>
            <x14:sparkline>
              <xm:f>'Cash Flow St Analysis'!C38:G38</xm:f>
              <xm:sqref>I38</xm:sqref>
            </x14:sparkline>
            <x14:sparkline>
              <xm:f>'Cash Flow St Analysis'!C39:G39</xm:f>
              <xm:sqref>I39</xm:sqref>
            </x14:sparkline>
            <x14:sparkline>
              <xm:f>'Cash Flow St Analysis'!C40:G40</xm:f>
              <xm:sqref>I40</xm:sqref>
            </x14:sparkline>
            <x14:sparkline>
              <xm:f>'Cash Flow St Analysis'!C41:G41</xm:f>
              <xm:sqref>I41</xm:sqref>
            </x14:sparkline>
            <x14:sparkline>
              <xm:f>'Cash Flow St Analysis'!C42:G42</xm:f>
              <xm:sqref>I42</xm:sqref>
            </x14:sparkline>
            <x14:sparkline>
              <xm:f>'Cash Flow St Analysis'!C43:G43</xm:f>
              <xm:sqref>I43</xm:sqref>
            </x14:sparkline>
            <x14:sparkline>
              <xm:f>'Cash Flow St Analysis'!C44:G44</xm:f>
              <xm:sqref>I44</xm:sqref>
            </x14:sparkline>
            <x14:sparkline>
              <xm:f>'Cash Flow St Analysis'!C45:G45</xm:f>
              <xm:sqref>I45</xm:sqref>
            </x14:sparkline>
            <x14:sparkline>
              <xm:f>'Cash Flow St Analysis'!C46:G46</xm:f>
              <xm:sqref>I46</xm:sqref>
            </x14:sparkline>
            <x14:sparkline>
              <xm:f>'Cash Flow St Analysis'!C47:G47</xm:f>
              <xm:sqref>I47</xm:sqref>
            </x14:sparkline>
          </x14:sparklines>
        </x14:sparklineGroup>
        <x14:sparklineGroup type="column" displayEmptyCellsAs="gap" high="1" negative="1" xr2:uid="{13FADB1F-8C24-44D8-9478-9AF1162A58D4}">
          <x14:colorSeries theme="5" tint="0.39997558519241921"/>
          <x14:colorNegative rgb="FF7A0000"/>
          <x14:colorAxis rgb="FF000000"/>
          <x14:colorMarkers rgb="FFD00000"/>
          <x14:colorFirst rgb="FFD00000"/>
          <x14:colorLast rgb="FFD00000"/>
          <x14:colorHigh theme="5" tint="-0.499984740745262"/>
          <x14:colorLow rgb="FFD00000"/>
          <x14:sparklines>
            <x14:sparkline>
              <xm:f>'Cash Flow St Analysis'!C48:G48</xm:f>
              <xm:sqref>I48</xm:sqref>
            </x14:sparkline>
            <x14:sparkline>
              <xm:f>'Cash Flow St Analysis'!C49:G49</xm:f>
              <xm:sqref>I49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5181-F8A7-4FEC-8824-C7642D311E3E}">
  <sheetPr codeName="Sheet7"/>
  <dimension ref="A1:X168"/>
  <sheetViews>
    <sheetView showGridLines="0" workbookViewId="0"/>
  </sheetViews>
  <sheetFormatPr defaultRowHeight="14.5" x14ac:dyDescent="0.35"/>
  <cols>
    <col min="1" max="1" width="2.453125" customWidth="1"/>
    <col min="2" max="2" width="40.81640625" customWidth="1"/>
    <col min="3" max="7" width="12.453125" customWidth="1"/>
  </cols>
  <sheetData>
    <row r="1" spans="1:24" s="96" customFormat="1" ht="39" customHeight="1" x14ac:dyDescent="0.35">
      <c r="B1" s="94" t="s">
        <v>125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24" ht="16" customHeight="1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" customHeight="1" x14ac:dyDescent="0.35">
      <c r="A3" s="5"/>
      <c r="B3" s="86" t="s">
        <v>126</v>
      </c>
      <c r="C3" s="87">
        <v>2020</v>
      </c>
      <c r="D3" s="87">
        <v>2021</v>
      </c>
      <c r="E3" s="87">
        <v>2022</v>
      </c>
      <c r="F3" s="87">
        <v>2023</v>
      </c>
      <c r="G3" s="87">
        <v>2024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" customHeight="1" x14ac:dyDescent="0.35">
      <c r="A4" s="5"/>
      <c r="B4" s="88" t="s">
        <v>127</v>
      </c>
      <c r="C4" s="97">
        <f>'Income Statement Analysis'!C31/'Balance Sheet Analysis'!C41</f>
        <v>0.21160053034056972</v>
      </c>
      <c r="D4" s="97">
        <f>'Income Statement Analysis'!D31/'Balance Sheet Analysis'!D41</f>
        <v>0.21603954278653073</v>
      </c>
      <c r="E4" s="97">
        <f>'Income Statement Analysis'!E31/'Balance Sheet Analysis'!E41</f>
        <v>0.28089077871067708</v>
      </c>
      <c r="F4" s="97">
        <f>'Income Statement Analysis'!F31/'Balance Sheet Analysis'!F41</f>
        <v>0.24115629848877995</v>
      </c>
      <c r="G4" s="97">
        <f>'Income Statement Analysis'!G31/'Balance Sheet Analysis'!G41</f>
        <v>0.30921405659364903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" customHeight="1" x14ac:dyDescent="0.35">
      <c r="A5" s="5"/>
      <c r="B5" s="88" t="s">
        <v>142</v>
      </c>
      <c r="C5" s="97"/>
      <c r="D5" s="97">
        <f>('Income Statement Analysis'!D31/'Income Statement Analysis'!C8)*('Income Statement Analysis'!D8/(('Balance Sheet Analysis'!D17+'Balance Sheet Analysis'!C17)/2)*(('Balance Sheet Analysis'!D17+'Balance Sheet Analysis'!C17)/2)/(('Balance Sheet Analysis'!D41+'Balance Sheet Analysis'!C41)/2))</f>
        <v>0.23981744100173003</v>
      </c>
      <c r="E5" s="97">
        <f>('Income Statement Analysis'!E31/'Income Statement Analysis'!D8)*('Income Statement Analysis'!E8/(('Balance Sheet Analysis'!E17+'Balance Sheet Analysis'!D17)/2)*(('Balance Sheet Analysis'!E17+'Balance Sheet Analysis'!D17)/2)/(('Balance Sheet Analysis'!E41+'Balance Sheet Analysis'!D41)/2))</f>
        <v>0.29180412981470666</v>
      </c>
      <c r="F5" s="97">
        <f>('Income Statement Analysis'!F31/'Income Statement Analysis'!E8)*('Income Statement Analysis'!F8/(('Balance Sheet Analysis'!F17+'Balance Sheet Analysis'!E17)/2)*(('Balance Sheet Analysis'!F17+'Balance Sheet Analysis'!E17)/2)/(('Balance Sheet Analysis'!F41+'Balance Sheet Analysis'!E41)/2))</f>
        <v>0.24682514324165544</v>
      </c>
      <c r="G5" s="97">
        <f>('Income Statement Analysis'!G31/'Income Statement Analysis'!F8)*('Income Statement Analysis'!G8/(('Balance Sheet Analysis'!G17+'Balance Sheet Analysis'!F17)/2)*(('Balance Sheet Analysis'!G17+'Balance Sheet Analysis'!F17)/2)/(('Balance Sheet Analysis'!G41+'Balance Sheet Analysis'!F41)/2))</f>
        <v>0.34248402890624846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" customHeight="1" x14ac:dyDescent="0.35">
      <c r="A6" s="5"/>
      <c r="B6" s="88" t="s">
        <v>128</v>
      </c>
      <c r="C6" s="97">
        <f>'Income Statement Analysis'!C29/'Balance Sheet Analysis'!C17</f>
        <v>6.8162117592338103E-2</v>
      </c>
      <c r="D6" s="97">
        <f>'Income Statement Analysis'!D29/'Balance Sheet Analysis'!D17</f>
        <v>7.0016950763576447E-2</v>
      </c>
      <c r="E6" s="97">
        <f>'Income Statement Analysis'!E29/'Balance Sheet Analysis'!E17</f>
        <v>9.6593972065670178E-2</v>
      </c>
      <c r="F6" s="97">
        <f>'Income Statement Analysis'!F29/'Balance Sheet Analysis'!F17</f>
        <v>7.4454043429812045E-2</v>
      </c>
      <c r="G6" s="97">
        <f>'Income Statement Analysis'!G29/'Balance Sheet Analysis'!G17</f>
        <v>0.10574526840439145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" customHeight="1" x14ac:dyDescent="0.35">
      <c r="A7" s="5"/>
      <c r="B7" s="88" t="s">
        <v>129</v>
      </c>
      <c r="C7" s="97">
        <f>'Income Statement Analysis'!C17/('Balance Sheet Analysis'!C17-'Balance Sheet Analysis'!C29)</f>
        <v>0.12969345641284144</v>
      </c>
      <c r="D7" s="97">
        <f>'Income Statement Analysis'!D17/('Balance Sheet Analysis'!D17-'Balance Sheet Analysis'!D29)</f>
        <v>0.14108763786275968</v>
      </c>
      <c r="E7" s="97">
        <f>'Income Statement Analysis'!E17/('Balance Sheet Analysis'!E17-'Balance Sheet Analysis'!E29)</f>
        <v>0.16498498231532693</v>
      </c>
      <c r="F7" s="97">
        <f>'Income Statement Analysis'!F17/('Balance Sheet Analysis'!F17-'Balance Sheet Analysis'!F29)</f>
        <v>0.13522606109974239</v>
      </c>
      <c r="G7" s="97">
        <f>'Income Statement Analysis'!G17/('Balance Sheet Analysis'!G17-'Balance Sheet Analysis'!G29)</f>
        <v>0.1694169416941694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" customHeight="1" x14ac:dyDescent="0.35">
      <c r="A8" s="5"/>
      <c r="B8" s="88" t="s">
        <v>130</v>
      </c>
      <c r="C8" s="97">
        <f>'Income Statement Analysis'!C11/'Income Statement Analysis'!C8</f>
        <v>0.26788863357024528</v>
      </c>
      <c r="D8" s="97">
        <f>'Income Statement Analysis'!D11/'Income Statement Analysis'!D8</f>
        <v>0.26824775418446895</v>
      </c>
      <c r="E8" s="97">
        <f>'Income Statement Analysis'!E11/'Income Statement Analysis'!E8</f>
        <v>0.26966900274812572</v>
      </c>
      <c r="F8" s="97">
        <f>'Income Statement Analysis'!F11/'Income Statement Analysis'!F8</f>
        <v>0.25930288292444326</v>
      </c>
      <c r="G8" s="97">
        <f>'Income Statement Analysis'!G11/'Income Statement Analysis'!G8</f>
        <v>0.26217936354869814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" customHeight="1" x14ac:dyDescent="0.35">
      <c r="A9" s="5"/>
      <c r="B9" s="88" t="s">
        <v>132</v>
      </c>
      <c r="C9" s="97">
        <f>'Income Statement Analysis'!C14/'Income Statement Analysis'!C8</f>
        <v>6.0257956653510546E-2</v>
      </c>
      <c r="D9" s="97">
        <f>'Income Statement Analysis'!D14/'Income Statement Analysis'!D8</f>
        <v>6.0275310247142541E-2</v>
      </c>
      <c r="E9" s="97">
        <f>'Income Statement Analysis'!E14/'Income Statement Analysis'!E8</f>
        <v>6.3975109732974364E-2</v>
      </c>
      <c r="F9" s="97">
        <f>'Income Statement Analysis'!F14/'Income Statement Analysis'!F8</f>
        <v>5.131615324339224E-2</v>
      </c>
      <c r="G9" s="97">
        <f>'Income Statement Analysis'!G14/'Income Statement Analysis'!G8</f>
        <v>6.0102603664416589E-2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" customHeight="1" x14ac:dyDescent="0.35">
      <c r="A10" s="5"/>
      <c r="B10" s="88" t="s">
        <v>131</v>
      </c>
      <c r="C10" s="97">
        <f>'Income Statement Analysis'!C17/'Income Statement Analysis'!C8</f>
        <v>3.9283233199227427E-2</v>
      </c>
      <c r="D10" s="97">
        <f>'Income Statement Analysis'!D17/'Income Statement Analysis'!D8</f>
        <v>4.0334364062659285E-2</v>
      </c>
      <c r="E10" s="97">
        <f>'Income Statement Analysis'!E17/'Income Statement Analysis'!E8</f>
        <v>4.5363279872336119E-2</v>
      </c>
      <c r="F10" s="97">
        <f>'Income Statement Analysis'!F17/'Income Statement Analysis'!F8</f>
        <v>3.3403185727209225E-2</v>
      </c>
      <c r="G10" s="97">
        <f>'Income Statement Analysis'!G17/'Income Statement Analysis'!G8</f>
        <v>4.1819093539054969E-2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" customHeight="1" x14ac:dyDescent="0.35">
      <c r="A11" s="5"/>
      <c r="B11" s="88" t="s">
        <v>133</v>
      </c>
      <c r="C11" s="97">
        <f>'Income Statement Analysis'!C31/'Income Statement Analysis'!C8</f>
        <v>3.015474345565726E-2</v>
      </c>
      <c r="D11" s="97">
        <f>'Income Statement Analysis'!D31/'Income Statement Analysis'!D8</f>
        <v>3.1267045932136403E-2</v>
      </c>
      <c r="E11" s="97">
        <f>'Income Statement Analysis'!E31/'Income Statement Analysis'!E8</f>
        <v>4.0829047025424531E-2</v>
      </c>
      <c r="F11" s="97">
        <f>'Income Statement Analysis'!F31/'Income Statement Analysis'!F8</f>
        <v>3.0255738284183094E-2</v>
      </c>
      <c r="G11" s="97">
        <f>'Income Statement Analysis'!G29/'Income Statement Analysis'!G8</f>
        <v>4.1180327868852458E-2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" customHeight="1" x14ac:dyDescent="0.35">
      <c r="A12" s="5"/>
      <c r="B12" s="88" t="s">
        <v>197</v>
      </c>
      <c r="C12" s="97">
        <f>'Cash Flow St Analysis'!C47/'Income Statement Analysis'!C8</f>
        <v>2.7774808956340512E-2</v>
      </c>
      <c r="D12" s="97">
        <f>'Cash Flow St Analysis'!D47/'Income Statement Analysis'!D8</f>
        <v>4.615568960799498E-2</v>
      </c>
      <c r="E12" s="97">
        <f>'Cash Flow St Analysis'!E47/'Income Statement Analysis'!E8</f>
        <v>1.9339891122541267E-2</v>
      </c>
      <c r="F12" s="97">
        <f>'Cash Flow St Analysis'!F47/'Income Statement Analysis'!F8</f>
        <v>1.9612654570914902E-2</v>
      </c>
      <c r="G12" s="97">
        <f>'Cash Flow St Analysis'!G47/'Income Statement Analysis'!G8</f>
        <v>2.3324204435872711E-2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" customHeight="1" x14ac:dyDescent="0.35">
      <c r="A13" s="5"/>
      <c r="B13" s="88" t="s">
        <v>199</v>
      </c>
      <c r="C13" s="98">
        <f>'Cash Flow St Analysis'!C47/'Income Statement Analysis'!C31</f>
        <v>0.92107594936708859</v>
      </c>
      <c r="D13" s="98">
        <f>'Cash Flow St Analysis'!D47/'Income Statement Analysis'!D31</f>
        <v>1.4761768575187324</v>
      </c>
      <c r="E13" s="98">
        <f>'Cash Flow St Analysis'!E47/'Income Statement Analysis'!E31</f>
        <v>0.47367970921530894</v>
      </c>
      <c r="F13" s="98">
        <f>'Cash Flow St Analysis'!F47/'Income Statement Analysis'!F31</f>
        <v>0.64822925114895913</v>
      </c>
      <c r="G13" s="98">
        <f>'Cash Flow St Analysis'!G47/'Income Statement Analysis'!G31</f>
        <v>0.58297019011993367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4" customHeight="1" x14ac:dyDescent="0.35">
      <c r="A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4" customHeight="1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4" customHeight="1" x14ac:dyDescent="0.35">
      <c r="A16" s="5"/>
      <c r="B16" s="89" t="s">
        <v>134</v>
      </c>
      <c r="C16" s="92"/>
      <c r="D16" s="92"/>
      <c r="E16" s="92"/>
      <c r="F16" s="92"/>
      <c r="G16" s="90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4" customHeight="1" x14ac:dyDescent="0.35">
      <c r="A17" s="5"/>
      <c r="B17" s="88" t="s">
        <v>120</v>
      </c>
      <c r="C17" s="98">
        <f>SUM('Balance Sheet Analysis'!C29:C33)/'Balance Sheet Analysis'!C41</f>
        <v>2.0750646185163855</v>
      </c>
      <c r="D17" s="98">
        <f>SUM('Balance Sheet Analysis'!D29:D33)/'Balance Sheet Analysis'!D41</f>
        <v>2.0384924312635158</v>
      </c>
      <c r="E17" s="98">
        <f>SUM('Balance Sheet Analysis'!E29:E33)/'Balance Sheet Analysis'!E41</f>
        <v>1.837399252879776</v>
      </c>
      <c r="F17" s="98">
        <f>SUM('Balance Sheet Analysis'!F29:F33)/'Balance Sheet Analysis'!F41</f>
        <v>2.0758869779510518</v>
      </c>
      <c r="G17" s="98">
        <f>SUM('Balance Sheet Analysis'!G29:G33)/'Balance Sheet Analysis'!G41</f>
        <v>1.9297170317549277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4" customHeight="1" x14ac:dyDescent="0.35">
      <c r="A18" s="5"/>
      <c r="B18" s="88" t="s">
        <v>135</v>
      </c>
      <c r="C18" s="98">
        <f>'Balance Sheet Analysis'!C41/'Balance Sheet Analysis'!C17</f>
        <v>0.31573183365398844</v>
      </c>
      <c r="D18" s="98">
        <f>'Balance Sheet Analysis'!D41/'Balance Sheet Analysis'!D17</f>
        <v>0.32050012673468092</v>
      </c>
      <c r="E18" s="98">
        <f>'Balance Sheet Analysis'!E41/'Balance Sheet Analysis'!E17</f>
        <v>0.34000245037980886</v>
      </c>
      <c r="F18" s="98">
        <f>'Balance Sheet Analysis'!F41/'Balance Sheet Analysis'!F17</f>
        <v>0.31535339662907025</v>
      </c>
      <c r="G18" s="98">
        <f>'Balance Sheet Analysis'!G41/'Balance Sheet Analysis'!G17</f>
        <v>0.33225567454704652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4" customHeight="1" x14ac:dyDescent="0.35">
      <c r="A19" s="5"/>
      <c r="B19" s="88" t="s">
        <v>122</v>
      </c>
      <c r="C19" s="98">
        <f>SUM('Balance Sheet Analysis'!C29:C33)/'Balance Sheet Analysis'!C17</f>
        <v>0.65516395695469254</v>
      </c>
      <c r="D19" s="98">
        <f>SUM('Balance Sheet Analysis'!D29:D33)/'Balance Sheet Analysis'!D17</f>
        <v>0.65333708256764467</v>
      </c>
      <c r="E19" s="98">
        <f>SUM('Balance Sheet Analysis'!E29:E33)/'Balance Sheet Analysis'!E17</f>
        <v>0.62472024830515394</v>
      </c>
      <c r="F19" s="98">
        <f>SUM('Balance Sheet Analysis'!F29:F33)/'Balance Sheet Analysis'!F17</f>
        <v>0.65463800951492002</v>
      </c>
      <c r="G19" s="98">
        <f>SUM('Balance Sheet Analysis'!G29:G33)/'Balance Sheet Analysis'!G17</f>
        <v>0.64115943407065801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4" customHeight="1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14" customHeight="1" x14ac:dyDescent="0.35">
      <c r="A21" s="5"/>
      <c r="B21" s="89" t="s">
        <v>136</v>
      </c>
      <c r="C21" s="93"/>
      <c r="D21" s="93"/>
      <c r="E21" s="93"/>
      <c r="F21" s="93"/>
      <c r="G21" s="91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14" customHeight="1" x14ac:dyDescent="0.35">
      <c r="A22" s="5"/>
      <c r="B22" s="88" t="s">
        <v>124</v>
      </c>
      <c r="C22" s="97"/>
      <c r="D22" s="98">
        <f>'Income Statement Analysis'!D6/(('Balance Sheet Analysis'!C17+'Balance Sheet Analysis'!D17)/2)</f>
        <v>2.2709334118623858</v>
      </c>
      <c r="E22" s="98">
        <f>'Income Statement Analysis'!E6/(('Balance Sheet Analysis'!D17+'Balance Sheet Analysis'!E17)/2)</f>
        <v>2.283121144612712</v>
      </c>
      <c r="F22" s="98">
        <f>'Income Statement Analysis'!F6/(('Balance Sheet Analysis'!E17+'Balance Sheet Analysis'!F17)/2)</f>
        <v>2.4828288499089246</v>
      </c>
      <c r="G22" s="98">
        <f>'Income Statement Analysis'!G6/(('Balance Sheet Analysis'!F17+'Balance Sheet Analysis'!G17)/2)</f>
        <v>2.593390584266217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14" customHeight="1" x14ac:dyDescent="0.35">
      <c r="A23" s="5"/>
      <c r="B23" s="88" t="s">
        <v>123</v>
      </c>
      <c r="C23" s="97"/>
      <c r="D23" s="98">
        <f>'Income Statement Analysis'!D10/(('Balance Sheet Analysis'!C9+'Balance Sheet Analysis'!D9)/2)</f>
        <v>-9.1551060592499773</v>
      </c>
      <c r="E23" s="98">
        <f>'Income Statement Analysis'!E10/(('Balance Sheet Analysis'!D9+'Balance Sheet Analysis'!E9)/2)</f>
        <v>-8.2456140350877192</v>
      </c>
      <c r="F23" s="98">
        <f>'Income Statement Analysis'!F10/(('Balance Sheet Analysis'!E9+'Balance Sheet Analysis'!F9)/2)</f>
        <v>-8.0076401354709201</v>
      </c>
      <c r="G23" s="98">
        <f>'Income Statement Analysis'!G10/(('Balance Sheet Analysis'!F9+'Balance Sheet Analysis'!G9)/2)</f>
        <v>-8.5800409086015712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14" customHeight="1" x14ac:dyDescent="0.35">
      <c r="A24" s="5"/>
      <c r="B24" s="88" t="s">
        <v>137</v>
      </c>
      <c r="C24" s="97"/>
      <c r="D24" s="98">
        <f>365/D23</f>
        <v>-39.868462215270313</v>
      </c>
      <c r="E24" s="98">
        <f t="shared" ref="E24:G24" si="0">365/E23</f>
        <v>-44.265957446808514</v>
      </c>
      <c r="F24" s="98">
        <f t="shared" si="0"/>
        <v>-45.581468925305892</v>
      </c>
      <c r="G24" s="98">
        <f t="shared" si="0"/>
        <v>-42.540589711417823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14" customHeight="1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14" customHeight="1" x14ac:dyDescent="0.35">
      <c r="A26" s="5"/>
      <c r="B26" s="89" t="s">
        <v>188</v>
      </c>
      <c r="C26" s="93"/>
      <c r="D26" s="93"/>
      <c r="E26" s="93"/>
      <c r="F26" s="93"/>
      <c r="G26" s="91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14" customHeight="1" x14ac:dyDescent="0.35">
      <c r="A27" s="5"/>
      <c r="B27" s="88" t="s">
        <v>119</v>
      </c>
      <c r="C27" s="98">
        <f>'Balance Sheet Analysis'!C11/'Balance Sheet Analysis'!C29</f>
        <v>0.7945237177015041</v>
      </c>
      <c r="D27" s="98">
        <f>'Balance Sheet Analysis'!D11/'Balance Sheet Analysis'!D29</f>
        <v>0.97217334988396564</v>
      </c>
      <c r="E27" s="98">
        <f>'Balance Sheet Analysis'!E11/'Balance Sheet Analysis'!E29</f>
        <v>0.92779729683333523</v>
      </c>
      <c r="F27" s="98">
        <f>'Balance Sheet Analysis'!F11/'Balance Sheet Analysis'!F29</f>
        <v>0.82057094513980777</v>
      </c>
      <c r="G27" s="98">
        <f>'Balance Sheet Analysis'!G11/'Balance Sheet Analysis'!G29</f>
        <v>0.83186712113834338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14" customHeight="1" x14ac:dyDescent="0.35">
      <c r="A28" s="5"/>
      <c r="B28" s="88" t="s">
        <v>121</v>
      </c>
      <c r="C28" s="98">
        <f>('Balance Sheet Analysis'!C7+'Balance Sheet Analysis'!C8)/'Balance Sheet Analysis'!C29</f>
        <v>0.20245532844838668</v>
      </c>
      <c r="D28" s="98">
        <f>('Balance Sheet Analysis'!D7+'Balance Sheet Analysis'!D8)/'Balance Sheet Analysis'!D29</f>
        <v>0.26182740568838037</v>
      </c>
      <c r="E28" s="98">
        <f>('Balance Sheet Analysis'!E7+'Balance Sheet Analysis'!E8)/'Balance Sheet Analysis'!E29</f>
        <v>0.2636789159866787</v>
      </c>
      <c r="F28" s="98">
        <f>('Balance Sheet Analysis'!F7+'Balance Sheet Analysis'!F8)/'Balance Sheet Analysis'!F29</f>
        <v>0.17959174819410401</v>
      </c>
      <c r="G28" s="98">
        <f>('Balance Sheet Analysis'!G7+'Balance Sheet Analysis'!G8)/'Balance Sheet Analysis'!G29</f>
        <v>0.20194773575718228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14" customHeight="1" x14ac:dyDescent="0.35">
      <c r="A29" s="5"/>
      <c r="B29" s="88" t="s">
        <v>138</v>
      </c>
      <c r="C29" s="98">
        <f>'Balance Sheet Analysis'!C7/'Balance Sheet Analysis'!C29</f>
        <v>0.12167373698418819</v>
      </c>
      <c r="D29" s="98">
        <f>'Balance Sheet Analysis'!D7/'Balance Sheet Analysis'!D29</f>
        <v>0.19149441416158455</v>
      </c>
      <c r="E29" s="98">
        <f>'Balance Sheet Analysis'!E7/'Balance Sheet Analysis'!E29</f>
        <v>0.16891930555396606</v>
      </c>
      <c r="F29" s="98">
        <f>'Balance Sheet Analysis'!F7/'Balance Sheet Analysis'!F29</f>
        <v>9.3548666999284144E-2</v>
      </c>
      <c r="G29" s="98">
        <f>'Balance Sheet Analysis'!G7/'Balance Sheet Analysis'!G29</f>
        <v>0.10676838175620841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ht="14" customHeight="1" x14ac:dyDescent="0.35">
      <c r="A30" s="5"/>
      <c r="B30" s="88" t="s">
        <v>139</v>
      </c>
      <c r="C30" s="98">
        <f>'Cash Flow St Analysis'!C21/'Balance Sheet Analysis'!C12</f>
        <v>0.2400768002433275</v>
      </c>
      <c r="D30" s="98">
        <f>'Cash Flow St Analysis'!D21/'Balance Sheet Analysis'!D12</f>
        <v>0.39123219921692826</v>
      </c>
      <c r="E30" s="98">
        <f>'Cash Flow St Analysis'!E21/'Balance Sheet Analysis'!E12</f>
        <v>0.25586414854784956</v>
      </c>
      <c r="F30" s="98">
        <f>'Cash Flow St Analysis'!F21/'Balance Sheet Analysis'!F12</f>
        <v>0.28628423977768958</v>
      </c>
      <c r="G30" s="98">
        <f>'Cash Flow St Analysis'!G21/'Balance Sheet Analysis'!G12</f>
        <v>0.32238065156574314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14" customHeight="1" x14ac:dyDescent="0.35">
      <c r="A31" s="5"/>
      <c r="B31" s="88" t="s">
        <v>140</v>
      </c>
      <c r="C31" s="98">
        <f>'Cash Flow St Analysis'!C21/'Balance Sheet Analysis'!C29</f>
        <v>0.32469469083429747</v>
      </c>
      <c r="D31" s="98">
        <f>'Cash Flow St Analysis'!D21/'Balance Sheet Analysis'!D29</f>
        <v>0.38935722381132282</v>
      </c>
      <c r="E31" s="98">
        <f>'Cash Flow St Analysis'!E21/'Balance Sheet Analysis'!E29</f>
        <v>0.27675986220945537</v>
      </c>
      <c r="F31" s="98">
        <f>'Cash Flow St Analysis'!F21/'Balance Sheet Analysis'!F29</f>
        <v>0.31287012733464936</v>
      </c>
      <c r="G31" s="98">
        <f>'Cash Flow St Analysis'!G21/'Balance Sheet Analysis'!G29</f>
        <v>0.38654980252123572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35">
      <c r="A32" s="5"/>
      <c r="B32" s="88" t="s">
        <v>198</v>
      </c>
      <c r="C32" s="98">
        <f>'Cash Flow St Analysis'!C47/SUM('Balance Sheet Analysis'!C30:C33)</f>
        <v>0.18862519927935401</v>
      </c>
      <c r="D32" s="98">
        <f>'Cash Flow St Analysis'!D47/SUM('Balance Sheet Analysis'!D30:D33)</f>
        <v>0.356858407079646</v>
      </c>
      <c r="E32" s="98">
        <f>'Cash Flow St Analysis'!E47/SUM('Balance Sheet Analysis'!E30:E33)</f>
        <v>0.16888245159323068</v>
      </c>
      <c r="F32" s="98">
        <f>'Cash Flow St Analysis'!F47/SUM('Balance Sheet Analysis'!F30:F33)</f>
        <v>0.17891893505253104</v>
      </c>
      <c r="G32" s="98">
        <f>'Cash Flow St Analysis'!G47/SUM('Balance Sheet Analysis'!G30:G33)</f>
        <v>0.21778341232910262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4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</sheetData>
  <conditionalFormatting sqref="D4:G4 C5 E5:G5 D18:G18 E22:G23 D27:G29">
    <cfRule type="expression" dxfId="7" priority="11">
      <formula>C4&gt;B4</formula>
    </cfRule>
    <cfRule type="expression" dxfId="6" priority="12">
      <formula>C4&lt;B4</formula>
    </cfRule>
  </conditionalFormatting>
  <conditionalFormatting sqref="D6:G13">
    <cfRule type="expression" dxfId="5" priority="1">
      <formula>D6&gt;C6</formula>
    </cfRule>
    <cfRule type="expression" dxfId="4" priority="2">
      <formula>D6&lt;C6</formula>
    </cfRule>
  </conditionalFormatting>
  <conditionalFormatting sqref="D17:G17 D19:G19 E24:G24 D30:G30">
    <cfRule type="expression" dxfId="3" priority="9">
      <formula>D17&gt;C17</formula>
    </cfRule>
    <cfRule type="expression" dxfId="2" priority="10">
      <formula>D17&lt;C17</formula>
    </cfRule>
  </conditionalFormatting>
  <conditionalFormatting sqref="D31:G32">
    <cfRule type="expression" dxfId="1" priority="3">
      <formula>D31&gt;C31</formula>
    </cfRule>
    <cfRule type="expression" dxfId="0" priority="4">
      <formula>D31&lt;C31</formula>
    </cfRule>
  </conditionalFormatting>
  <pageMargins left="0.7" right="0.7" top="0.75" bottom="0.75" header="0.3" footer="0.3"/>
  <ignoredErrors>
    <ignoredError sqref="C17:G17 C19:G19 C32:G32" formulaRange="1"/>
  </ignoredError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A6C1D22-65E3-4217-82B1-F0D1925C0CEA}">
          <x14:colorSeries rgb="FF376092"/>
          <x14:colorNegative rgb="FFFF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Analysis'!C4:G4</xm:f>
              <xm:sqref>H4</xm:sqref>
            </x14:sparkline>
            <x14:sparkline>
              <xm:f>'Ratio Analysis'!C5:G5</xm:f>
              <xm:sqref>H5</xm:sqref>
            </x14:sparkline>
            <x14:sparkline>
              <xm:f>'Ratio Analysis'!C6:G6</xm:f>
              <xm:sqref>H6</xm:sqref>
            </x14:sparkline>
            <x14:sparkline>
              <xm:f>'Ratio Analysis'!C7:G7</xm:f>
              <xm:sqref>H7</xm:sqref>
            </x14:sparkline>
            <x14:sparkline>
              <xm:f>'Ratio Analysis'!C8:G8</xm:f>
              <xm:sqref>H8</xm:sqref>
            </x14:sparkline>
            <x14:sparkline>
              <xm:f>'Ratio Analysis'!C9:G9</xm:f>
              <xm:sqref>H9</xm:sqref>
            </x14:sparkline>
            <x14:sparkline>
              <xm:f>'Ratio Analysis'!C10:G10</xm:f>
              <xm:sqref>H10</xm:sqref>
            </x14:sparkline>
            <x14:sparkline>
              <xm:f>'Ratio Analysis'!C15:G15</xm:f>
              <xm:sqref>H15</xm:sqref>
            </x14:sparkline>
            <x14:sparkline>
              <xm:f>'Ratio Analysis'!C16:G16</xm:f>
              <xm:sqref>H16</xm:sqref>
            </x14:sparkline>
            <x14:sparkline>
              <xm:f>'Ratio Analysis'!C17:G17</xm:f>
              <xm:sqref>H17</xm:sqref>
            </x14:sparkline>
            <x14:sparkline>
              <xm:f>'Ratio Analysis'!C18:G18</xm:f>
              <xm:sqref>H18</xm:sqref>
            </x14:sparkline>
            <x14:sparkline>
              <xm:f>'Ratio Analysis'!C19:G19</xm:f>
              <xm:sqref>H19</xm:sqref>
            </x14:sparkline>
            <x14:sparkline>
              <xm:f>'Ratio Analysis'!C20:G20</xm:f>
              <xm:sqref>H20</xm:sqref>
            </x14:sparkline>
            <x14:sparkline>
              <xm:f>'Ratio Analysis'!C21:G21</xm:f>
              <xm:sqref>H21</xm:sqref>
            </x14:sparkline>
            <x14:sparkline>
              <xm:f>'Ratio Analysis'!C22:G22</xm:f>
              <xm:sqref>H22</xm:sqref>
            </x14:sparkline>
            <x14:sparkline>
              <xm:f>'Ratio Analysis'!C23:G23</xm:f>
              <xm:sqref>H23</xm:sqref>
            </x14:sparkline>
            <x14:sparkline>
              <xm:f>'Ratio Analysis'!C24:G24</xm:f>
              <xm:sqref>H24</xm:sqref>
            </x14:sparkline>
            <x14:sparkline>
              <xm:f>'Ratio Analysis'!C25:G25</xm:f>
              <xm:sqref>H25</xm:sqref>
            </x14:sparkline>
            <x14:sparkline>
              <xm:f>'Ratio Analysis'!C26:G26</xm:f>
              <xm:sqref>H26</xm:sqref>
            </x14:sparkline>
            <x14:sparkline>
              <xm:f>'Ratio Analysis'!C27:G27</xm:f>
              <xm:sqref>H27</xm:sqref>
            </x14:sparkline>
            <x14:sparkline>
              <xm:f>'Ratio Analysis'!C28:G28</xm:f>
              <xm:sqref>H28</xm:sqref>
            </x14:sparkline>
            <x14:sparkline>
              <xm:f>'Ratio Analysis'!C29:G29</xm:f>
              <xm:sqref>H29</xm:sqref>
            </x14:sparkline>
            <x14:sparkline>
              <xm:f>'Ratio Analysis'!C30:G30</xm:f>
              <xm:sqref>H30</xm:sqref>
            </x14:sparkline>
            <x14:sparkline>
              <xm:f>'Ratio Analysis'!C31:G31</xm:f>
              <xm:sqref>H31</xm:sqref>
            </x14:sparkline>
            <x14:sparkline>
              <xm:f>'Ratio Analysis'!C32:G32</xm:f>
              <xm:sqref>H32</xm:sqref>
            </x14:sparkline>
            <x14:sparkline>
              <xm:f>'Ratio Analysis'!C11:G11</xm:f>
              <xm:sqref>H11</xm:sqref>
            </x14:sparkline>
            <x14:sparkline>
              <xm:f>'Ratio Analysis'!C12:G12</xm:f>
              <xm:sqref>H12</xm:sqref>
            </x14:sparkline>
            <x14:sparkline>
              <xm:f>'Ratio Analysis'!C13:G13</xm:f>
              <xm:sqref>H13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22503-0A20-477C-BF1C-33F44A2A2D4C}">
  <sheetPr>
    <tabColor theme="4" tint="-0.499984740745262"/>
  </sheetPr>
  <dimension ref="A1"/>
  <sheetViews>
    <sheetView showGridLines="0"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4844-ED1B-4617-9287-7BCC55E27BF6}">
  <sheetPr codeName="Sheet6">
    <tabColor theme="0" tint="-0.14999847407452621"/>
  </sheetPr>
  <dimension ref="A1:U108"/>
  <sheetViews>
    <sheetView showGridLines="0" zoomScaleNormal="100" workbookViewId="0"/>
  </sheetViews>
  <sheetFormatPr defaultRowHeight="14.5" x14ac:dyDescent="0.35"/>
  <cols>
    <col min="1" max="1" width="4.453125" customWidth="1"/>
    <col min="2" max="2" width="64.6328125" bestFit="1" customWidth="1"/>
    <col min="3" max="3" width="29.7265625" customWidth="1"/>
    <col min="4" max="4" width="14.54296875" customWidth="1"/>
    <col min="5" max="5" width="27.08984375" customWidth="1"/>
    <col min="6" max="6" width="19.36328125" customWidth="1"/>
  </cols>
  <sheetData>
    <row r="1" spans="1:21" s="153" customFormat="1" ht="39" customHeight="1" x14ac:dyDescent="0.35">
      <c r="B1" s="154" t="s">
        <v>200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21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35">
      <c r="A3" s="5"/>
      <c r="B3" s="110" t="s">
        <v>144</v>
      </c>
      <c r="C3" s="96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35">
      <c r="A4" s="5"/>
      <c r="B4" s="111" t="s">
        <v>109</v>
      </c>
      <c r="C4" s="112" t="s">
        <v>115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35">
      <c r="A5" s="5"/>
      <c r="B5" s="5" t="s">
        <v>17</v>
      </c>
      <c r="C5" s="24">
        <f>IF($F$7=1,'Balance Sheet Analysis'!Q7,IF($F$7=2,'Balance Sheet Analysis'!R7,IF($F$7=3,'Balance Sheet Analysis'!S7,IF($F$7=4,'Balance Sheet Analysis'!T7,'Balance Sheet Analysis'!U7))))</f>
        <v>4.0021987779868498E-2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5" thickBot="1" x14ac:dyDescent="0.4">
      <c r="A6" s="5"/>
      <c r="B6" s="5" t="s">
        <v>18</v>
      </c>
      <c r="C6" s="24">
        <f>IF($F$7=1,'Balance Sheet Analysis'!Q8,IF($F$7=2,'Balance Sheet Analysis'!R8,IF($F$7=3,'Balance Sheet Analysis'!S8,IF($F$7=4,'Balance Sheet Analysis'!T8,'Balance Sheet Analysis'!U8))))</f>
        <v>2.6571386287236518E-2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5" thickBot="1" x14ac:dyDescent="0.4">
      <c r="A7" s="5"/>
      <c r="B7" s="5" t="s">
        <v>19</v>
      </c>
      <c r="C7" s="24">
        <f>IF($F$7=1,'Balance Sheet Analysis'!Q9,IF($F$7=2,'Balance Sheet Analysis'!R9,IF($F$7=3,'Balance Sheet Analysis'!S9,IF($F$7=4,'Balance Sheet Analysis'!T9,'Balance Sheet Analysis'!U9))))</f>
        <v>0.1878898073955052</v>
      </c>
      <c r="D7" s="5"/>
      <c r="E7" s="5"/>
      <c r="F7" s="113">
        <v>1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35">
      <c r="A8" s="5"/>
      <c r="B8" s="114" t="s">
        <v>20</v>
      </c>
      <c r="C8" s="56">
        <f>IF($F$7=1,'Balance Sheet Analysis'!Q10,IF($F$7=2,'Balance Sheet Analysis'!R10,IF($F$7=3,'Balance Sheet Analysis'!S10,IF($F$7=4,'Balance Sheet Analysis'!T10,'Balance Sheet Analysis'!U10))))</f>
        <v>6.8584959512886104E-3</v>
      </c>
      <c r="D8" s="73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35">
      <c r="A9" s="5"/>
      <c r="B9" s="5" t="s">
        <v>22</v>
      </c>
      <c r="C9" s="24">
        <f>IF($F$7=1,'Balance Sheet Analysis'!Q12,IF($F$7=2,'Balance Sheet Analysis'!R12,IF($F$7=3,'Balance Sheet Analysis'!S12,IF($F$7=4,'Balance Sheet Analysis'!T12,'Balance Sheet Analysis'!U12))))</f>
        <v>0.44486352777014315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35">
      <c r="A10" s="5"/>
      <c r="B10" s="5" t="s">
        <v>23</v>
      </c>
      <c r="C10" s="24">
        <f>IF($F$7=1,'Balance Sheet Analysis'!Q13,IF($F$7=2,'Balance Sheet Analysis'!R13,IF($F$7=3,'Balance Sheet Analysis'!S13,IF($F$7=4,'Balance Sheet Analysis'!T13,'Balance Sheet Analysis'!U13))))</f>
        <v>7.3675976236284066E-2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35">
      <c r="A11" s="5"/>
      <c r="B11" s="5" t="s">
        <v>24</v>
      </c>
      <c r="C11" s="24">
        <f>IF($F$7=1,'Balance Sheet Analysis'!Q14,IF($F$7=2,'Balance Sheet Analysis'!R14,IF($F$7=3,'Balance Sheet Analysis'!S14,IF($F$7=4,'Balance Sheet Analysis'!T14,'Balance Sheet Analysis'!U14))))</f>
        <v>1.8676927630605297E-2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35">
      <c r="A12" s="5"/>
      <c r="B12" s="5" t="s">
        <v>25</v>
      </c>
      <c r="C12" s="24">
        <f>IF($F$7=1,'Balance Sheet Analysis'!Q15,IF($F$7=2,'Balance Sheet Analysis'!R15,IF($F$7=3,'Balance Sheet Analysis'!S15,IF($F$7=4,'Balance Sheet Analysis'!T15,'Balance Sheet Analysis'!U15))))</f>
        <v>0.13138966997188101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35">
      <c r="A13" s="5"/>
      <c r="B13" s="5" t="s">
        <v>26</v>
      </c>
      <c r="C13" s="24">
        <f>IF($F$7=1,'Balance Sheet Analysis'!Q16,IF($F$7=2,'Balance Sheet Analysis'!R16,IF($F$7=3,'Balance Sheet Analysis'!S16,IF($F$7=4,'Balance Sheet Analysis'!T16,'Balance Sheet Analysis'!U16))))</f>
        <v>7.0052220977187676E-2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35">
      <c r="A14" s="5"/>
      <c r="B14" s="5"/>
      <c r="C14" s="115" t="b">
        <f>100%=SUM(C5:C13)</f>
        <v>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35">
      <c r="A15" s="5"/>
      <c r="B15" s="5"/>
      <c r="C15" s="116"/>
      <c r="D15" s="5"/>
      <c r="E15" s="5" t="s">
        <v>174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35">
      <c r="A16" s="5"/>
      <c r="B16" s="110" t="s">
        <v>145</v>
      </c>
      <c r="C16" s="96"/>
      <c r="D16" s="5"/>
      <c r="E16" s="5" t="s">
        <v>175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35">
      <c r="A17" s="5"/>
      <c r="B17" s="111" t="s">
        <v>109</v>
      </c>
      <c r="C17" s="112" t="s">
        <v>115</v>
      </c>
      <c r="D17" s="5"/>
      <c r="E17" s="5" t="s">
        <v>176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35">
      <c r="A18" s="5"/>
      <c r="B18" s="84" t="s">
        <v>111</v>
      </c>
      <c r="C18" s="20">
        <f>SUM(C5:C8)</f>
        <v>0.26134167741389885</v>
      </c>
      <c r="D18" s="20"/>
      <c r="E18" s="5" t="s">
        <v>177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35">
      <c r="A19" s="5"/>
      <c r="B19" s="84" t="s">
        <v>112</v>
      </c>
      <c r="C19" s="20">
        <f>SUM(C9:C13)</f>
        <v>0.7386583225861012</v>
      </c>
      <c r="D19" s="20"/>
      <c r="E19" s="5" t="s">
        <v>178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35">
      <c r="A20" s="5"/>
      <c r="B20" s="84"/>
      <c r="C20" s="117" t="b">
        <f>100%=SUM(C18:C19)</f>
        <v>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35">
      <c r="A21" s="5"/>
      <c r="B21" s="8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x14ac:dyDescent="0.35">
      <c r="A24" s="5"/>
      <c r="B24" s="110" t="s">
        <v>147</v>
      </c>
      <c r="C24" s="9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x14ac:dyDescent="0.35">
      <c r="A25" s="5"/>
      <c r="B25" s="111" t="s">
        <v>109</v>
      </c>
      <c r="C25" s="112" t="s">
        <v>110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x14ac:dyDescent="0.35">
      <c r="A26" s="5"/>
      <c r="B26" s="84" t="s">
        <v>113</v>
      </c>
      <c r="C26" s="118">
        <f>IF($F$7=1,'Balance Sheet Analysis'!Q29,IF($F$7=2,'Balance Sheet Analysis'!R29,IF($F$7=3,'Balance Sheet Analysis'!S29,IF($F$7=4,'Balance Sheet Analysis'!T29,'Balance Sheet Analysis'!U29))))</f>
        <v>0.32892872999429162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x14ac:dyDescent="0.35">
      <c r="A27" s="5"/>
      <c r="B27" s="84" t="s">
        <v>114</v>
      </c>
      <c r="C27" s="118">
        <f>IF($F$7=1,SUM('Balance Sheet Analysis'!Q30:Q33),IF($F$7=2,SUM('Balance Sheet Analysis'!R30:R33),IF($F$7=3,SUM('Balance Sheet Analysis'!S30:S33),IF($F$7=4,SUM('Balance Sheet Analysis'!T30:T33),SUM('Balance Sheet Analysis'!U30:U33)))))</f>
        <v>0.32623522696040086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x14ac:dyDescent="0.35">
      <c r="A28" s="5"/>
      <c r="B28" s="5" t="s">
        <v>116</v>
      </c>
      <c r="C28" s="118">
        <f>IF($F$7=1,'Balance Sheet Analysis'!Q42,IF($F$7=2,'Balance Sheet Analysis'!R42,IF($F$7=3,'Balance Sheet Analysis'!S42,IF($F$7=4,SUM('Balance Sheet Analysis'!T42,'Balance Sheet Analysis'!T35),SUM('Balance Sheet Analysis'!U35,'Balance Sheet Analysis'!U42)))))</f>
        <v>2.9104209391319056E-2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x14ac:dyDescent="0.35">
      <c r="A29" s="5"/>
      <c r="B29" s="5" t="s">
        <v>141</v>
      </c>
      <c r="C29" s="118">
        <f>IF($F$7=1,'Balance Sheet Analysis'!Q41,IF($F$7=2,'Balance Sheet Analysis'!R41,IF($F$7=3,'Balance Sheet Analysis'!S41,IF($F$7=4,'Balance Sheet Analysis'!T41,'Balance Sheet Analysis'!U41))))</f>
        <v>0.31573183365398844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x14ac:dyDescent="0.35">
      <c r="A30" s="5"/>
      <c r="B30" s="5"/>
      <c r="C30" s="117" t="b">
        <f>100%=SUM(C26:C29)</f>
        <v>1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x14ac:dyDescent="0.35">
      <c r="A32" s="5"/>
      <c r="B32" s="110" t="s">
        <v>146</v>
      </c>
      <c r="C32" s="9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x14ac:dyDescent="0.35">
      <c r="A33" s="5"/>
      <c r="B33" s="111" t="s">
        <v>117</v>
      </c>
      <c r="C33" s="119" t="s">
        <v>118</v>
      </c>
      <c r="D33" s="5"/>
      <c r="E33" s="5"/>
      <c r="F33" s="5"/>
      <c r="G33" s="5"/>
      <c r="H33" s="120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x14ac:dyDescent="0.35">
      <c r="A34" s="5"/>
      <c r="B34" s="5" t="s">
        <v>119</v>
      </c>
      <c r="C34" s="121">
        <f>IF($F$7=1,'Ratio Analysis'!C27,IF($F$7=2,'Ratio Analysis'!D27,IF($F$7=3,'Ratio Analysis'!E27,IF($F$7=4,'Ratio Analysis'!F27,'Ratio Analysis'!G27))))</f>
        <v>0.7945237177015041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x14ac:dyDescent="0.35">
      <c r="A35" s="5"/>
      <c r="B35" s="5" t="s">
        <v>121</v>
      </c>
      <c r="C35" s="121">
        <f>IF($F$7=1,'Ratio Analysis'!C28,IF($F$7=2,'Ratio Analysis'!D28,IF($F$7=3,'Ratio Analysis'!E28,IF($F$7=4,'Ratio Analysis'!F28,'Ratio Analysis'!G28))))</f>
        <v>0.20245532844838668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x14ac:dyDescent="0.35">
      <c r="A36" s="5"/>
      <c r="B36" s="5" t="s">
        <v>120</v>
      </c>
      <c r="C36" s="122">
        <f>IF($F$7=1,'Ratio Analysis'!C17,IF($F$7=2,'Ratio Analysis'!D17,IF($F$7=3,'Ratio Analysis'!E17,IF($F$7=4,'Ratio Analysis'!F17,'Ratio Analysis'!G17))))</f>
        <v>2.0750646185163855</v>
      </c>
      <c r="D36" s="123"/>
      <c r="E36" s="123"/>
      <c r="F36" s="123"/>
      <c r="G36" s="123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x14ac:dyDescent="0.35">
      <c r="A37" s="5"/>
      <c r="B37" s="5" t="s">
        <v>122</v>
      </c>
      <c r="C37" s="122">
        <f>IF($F$7=1,'Ratio Analysis'!C19,IF($F$7=2,'Ratio Analysis'!D19,IF($F$7=3,'Ratio Analysis'!E19,IF($F$7=4,'Ratio Analysis'!F19,'Ratio Analysis'!G19))))</f>
        <v>0.65516395695469254</v>
      </c>
      <c r="D37" s="124"/>
      <c r="E37" s="124"/>
      <c r="F37" s="124"/>
      <c r="G37" s="124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x14ac:dyDescent="0.35">
      <c r="A38" s="5"/>
      <c r="B38" s="5" t="s">
        <v>127</v>
      </c>
      <c r="C38" s="125">
        <f>IF($F$7=1,'Ratio Analysis'!C4,IF($F$7=2,'Ratio Analysis'!D4,IF($F$7=3,'Ratio Analysis'!E4,IF($F$7=4,'Ratio Analysis'!F4,'Ratio Analysis'!G4))))</f>
        <v>0.21160053034056972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x14ac:dyDescent="0.35">
      <c r="A39" s="5"/>
      <c r="B39" s="5" t="s">
        <v>128</v>
      </c>
      <c r="C39" s="125">
        <f>IF($F$7=1,'Ratio Analysis'!C6,IF($F$7=2,'Ratio Analysis'!D6,IF($F$7=3,'Ratio Analysis'!E6,IF($F$7=4,'Ratio Analysis'!F6,'Ratio Analysis'!G6))))</f>
        <v>6.8162117592338103E-2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x14ac:dyDescent="0.35">
      <c r="A40" s="5"/>
      <c r="B40" s="5"/>
      <c r="C40" s="126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x14ac:dyDescent="0.35">
      <c r="A42" s="114"/>
      <c r="B42" s="114"/>
      <c r="C42" s="114"/>
      <c r="D42" s="114"/>
      <c r="E42" s="11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x14ac:dyDescent="0.35">
      <c r="A44" s="5"/>
      <c r="B44" s="110" t="s">
        <v>157</v>
      </c>
      <c r="C44" s="96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x14ac:dyDescent="0.35">
      <c r="A45" s="5"/>
      <c r="B45" s="111" t="s">
        <v>109</v>
      </c>
      <c r="C45" s="112" t="s">
        <v>148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x14ac:dyDescent="0.35">
      <c r="A46" s="5"/>
      <c r="B46" s="5" t="s">
        <v>4</v>
      </c>
      <c r="C46" s="65">
        <f>IF($F$7=1,'Income Statement Analysis'!C8,IF($F$7=2,'Income Statement Analysis'!D8,IF($F$7=3,'Income Statement Analysis'!E8,IF($F$7=4,'Income Statement Analysis'!F8,'Income Statement Analysis'!G8))))</f>
        <v>523964</v>
      </c>
      <c r="D46" s="5"/>
      <c r="E46" s="5"/>
      <c r="F46" s="123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x14ac:dyDescent="0.35">
      <c r="A47" s="5"/>
      <c r="B47" s="5" t="s">
        <v>149</v>
      </c>
      <c r="C47" s="65">
        <f>IF($F$7=1,'Income Statement Analysis'!C10,IF($F$7=2,'Income Statement Analysis'!D10,IF($F$7=3,'Income Statement Analysis'!E10,IF($F$7=4,'Income Statement Analysis'!F10,'Income Statement Analysis'!G10))))</f>
        <v>-383600</v>
      </c>
      <c r="D47" s="5"/>
      <c r="E47" s="5"/>
      <c r="F47" s="123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x14ac:dyDescent="0.35">
      <c r="A48" s="5"/>
      <c r="B48" s="5" t="s">
        <v>93</v>
      </c>
      <c r="C48" s="65">
        <f>IF($F$7=1,'Income Statement Analysis'!C11,IF($F$7=2,'Income Statement Analysis'!D11,IF($F$7=3,'Income Statement Analysis'!E11,IF($F$7=4,'Income Statement Analysis'!F11,'Income Statement Analysis'!G11))))</f>
        <v>140364</v>
      </c>
      <c r="D48" s="5"/>
      <c r="E48" s="5"/>
      <c r="F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x14ac:dyDescent="0.35">
      <c r="A49" s="5"/>
      <c r="B49" s="5" t="s">
        <v>152</v>
      </c>
      <c r="C49" s="65">
        <f>IF($F$7=1,'Income Statement Analysis'!C13,IF($F$7=2,'Income Statement Analysis'!D13,IF($F$7=3,'Income Statement Analysis'!E13,IF($F$7=4,'Income Statement Analysis'!F13,'Income Statement Analysis'!G13))))</f>
        <v>-108791</v>
      </c>
      <c r="D49" s="5"/>
      <c r="E49" s="5"/>
      <c r="F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x14ac:dyDescent="0.35">
      <c r="A50" s="5"/>
      <c r="B50" s="5" t="s">
        <v>97</v>
      </c>
      <c r="C50" s="65">
        <f>IF($F$7=1,'Income Statement Analysis'!C14,IF($F$7=2,'Income Statement Analysis'!D14,IF($F$7=3,'Income Statement Analysis'!E14,IF($F$7=4,'Income Statement Analysis'!F14,'Income Statement Analysis'!G14))))</f>
        <v>31573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x14ac:dyDescent="0.35">
      <c r="A51" s="5"/>
      <c r="B51" s="5" t="s">
        <v>153</v>
      </c>
      <c r="C51" s="65">
        <f>IF($F$7=1,'Income Statement Analysis'!C16,IF($F$7=2,'Income Statement Analysis'!D16,IF($F$7=3,'Income Statement Analysis'!E16,IF($F$7=4,'Income Statement Analysis'!F16,'Income Statement Analysis'!G16))))</f>
        <v>-10990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x14ac:dyDescent="0.35">
      <c r="A52" s="5"/>
      <c r="B52" s="5" t="s">
        <v>163</v>
      </c>
      <c r="C52" s="65">
        <f>IF($F$7=1,'Income Statement Analysis'!C17,IF($F$7=2,'Income Statement Analysis'!D17,IF($F$7=3,'Income Statement Analysis'!E17,IF($F$7=4,'Income Statement Analysis'!F17,'Income Statement Analysis'!G17))))</f>
        <v>20583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x14ac:dyDescent="0.35">
      <c r="A53" s="5"/>
      <c r="B53" s="5" t="s">
        <v>154</v>
      </c>
      <c r="C53" s="65">
        <f>IF($F$7=1,SUM('Income Statement Analysis'!C23,'Income Statement Analysis'!C25),IF($F$7=2,SUM('Income Statement Analysis'!D23,'Income Statement Analysis'!D25),IF($F$7=3,SUM('Income Statement Analysis'!E23:E25),IF($F$7=4,SUM('Income Statement Analysis'!F23,'Income Statement Analysis'!F25),SUM('Income Statement Analysis'!G23,'Income Statement Analysis'!G25)))))</f>
        <v>452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x14ac:dyDescent="0.35">
      <c r="A54" s="5"/>
      <c r="B54" s="5" t="s">
        <v>162</v>
      </c>
      <c r="C54" s="65">
        <f>IF($F$7=1,'Income Statement Analysis'!C27,IF($F$7=2,'Income Statement Analysis'!D27,IF($F$7=3,'Income Statement Analysis'!E27,IF($F$7=4,'Income Statement Analysis'!F27,'Income Statement Analysis'!G27))))</f>
        <v>21035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x14ac:dyDescent="0.35">
      <c r="A55" s="5"/>
      <c r="B55" s="5" t="s">
        <v>156</v>
      </c>
      <c r="C55" s="65">
        <f>IF($F$7=1,'Income Statement Analysis'!C28,IF($F$7=2,'Income Statement Analysis'!D28,IF($F$7=3,'Income Statement Analysis'!E28,IF($F$7=4,'Income Statement Analysis'!F28,'Income Statement Analysis'!G28))))</f>
        <v>-4915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x14ac:dyDescent="0.35">
      <c r="A56" s="5"/>
      <c r="B56" s="5" t="s">
        <v>106</v>
      </c>
      <c r="C56" s="65">
        <f>IF($F$7=1,'Income Statement Analysis'!C29,IF($F$7=2,'Income Statement Analysis'!D29,IF($F$7=3,'Income Statement Analysis'!E29,IF($F$7=4,'Income Statement Analysis'!F29,'Income Statement Analysis'!G29))))</f>
        <v>16120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s="100" customFormat="1" x14ac:dyDescent="0.35">
      <c r="A57" s="127"/>
      <c r="B57" s="5" t="s">
        <v>14</v>
      </c>
      <c r="C57" s="65">
        <f>IF($F$7=1,'Income Statement Analysis'!C30,IF($F$7=2,'Income Statement Analysis'!D30,IF($F$7=3,'Income Statement Analysis'!E30,IF($F$7=4,'Income Statement Analysis'!F30,'Income Statement Analysis'!G30))))</f>
        <v>-320</v>
      </c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</row>
    <row r="58" spans="1:21" x14ac:dyDescent="0.35">
      <c r="A58" s="5"/>
      <c r="B58" s="5" t="s">
        <v>104</v>
      </c>
      <c r="C58" s="65">
        <f>IF($F$7=1,'Income Statement Analysis'!C31,IF($F$7=2,'Income Statement Analysis'!D31,IF($F$7=3,'Income Statement Analysis'!E31,IF($F$7=4,'Income Statement Analysis'!F31,'Income Statement Analysis'!G31))))</f>
        <v>15800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x14ac:dyDescent="0.35">
      <c r="A59" s="5"/>
      <c r="B59" s="5"/>
      <c r="C59" s="6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x14ac:dyDescent="0.35">
      <c r="A60" s="5"/>
      <c r="B60" s="110" t="s">
        <v>158</v>
      </c>
      <c r="C60" s="96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x14ac:dyDescent="0.35">
      <c r="A61" s="5"/>
      <c r="B61" s="111" t="s">
        <v>117</v>
      </c>
      <c r="C61" s="119" t="s">
        <v>118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x14ac:dyDescent="0.35">
      <c r="A62" s="5"/>
      <c r="B62" s="5" t="s">
        <v>94</v>
      </c>
      <c r="C62" s="128">
        <f>IF($F$7=1,'Ratio Analysis'!C8,IF($F$7=2,'Ratio Analysis'!D8,IF($F$7=3,'Ratio Analysis'!E8,IF($F$7=4,'Ratio Analysis'!F8,'Ratio Analysis'!G8))))</f>
        <v>0.26788863357024528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x14ac:dyDescent="0.35">
      <c r="A63" s="5"/>
      <c r="B63" s="5" t="s">
        <v>159</v>
      </c>
      <c r="C63" s="128">
        <f>IF($F$7=1,'Ratio Analysis'!C9,IF($F$7=2,'Ratio Analysis'!D9,IF($F$7=3,'Ratio Analysis'!E9,IF($F$7=4,'Ratio Analysis'!F9,'Ratio Analysis'!G9))))</f>
        <v>6.0257956653510546E-2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x14ac:dyDescent="0.35">
      <c r="A64" s="5"/>
      <c r="B64" s="5" t="s">
        <v>160</v>
      </c>
      <c r="C64" s="128">
        <f>IF($F$7=1,'Ratio Analysis'!C10,IF($F$7=2,'Ratio Analysis'!D10,IF($F$7=3,'Ratio Analysis'!E10,IF($F$7=4,'Ratio Analysis'!F10,'Ratio Analysis'!G10))))</f>
        <v>3.9283233199227427E-2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15" thickBot="1" x14ac:dyDescent="0.4">
      <c r="A65" s="5"/>
      <c r="B65" s="5" t="s">
        <v>133</v>
      </c>
      <c r="C65" s="128">
        <f>IF($F$7=1,'Ratio Analysis'!C11,IF($F$7=2,'Ratio Analysis'!D11,IF($F$7=3,'Ratio Analysis'!E11,IF($F$7=4,'Ratio Analysis'!F11,'Ratio Analysis'!G11))))</f>
        <v>3.015474345565726E-2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ht="15" thickBot="1" x14ac:dyDescent="0.4">
      <c r="A66" s="5"/>
      <c r="B66" s="5"/>
      <c r="C66" s="125"/>
      <c r="D66" s="113">
        <f>F7</f>
        <v>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9" spans="1:21" x14ac:dyDescent="0.35">
      <c r="A69" s="4"/>
      <c r="B69" s="4"/>
      <c r="C69" s="4"/>
      <c r="D69" s="4"/>
      <c r="E69" s="4"/>
    </row>
    <row r="72" spans="1:21" x14ac:dyDescent="0.35">
      <c r="B72" s="110" t="s">
        <v>169</v>
      </c>
      <c r="C72" s="96"/>
    </row>
    <row r="73" spans="1:21" x14ac:dyDescent="0.35">
      <c r="B73" s="111" t="s">
        <v>109</v>
      </c>
      <c r="C73" s="112" t="s">
        <v>148</v>
      </c>
    </row>
    <row r="74" spans="1:21" x14ac:dyDescent="0.35">
      <c r="B74" t="s">
        <v>168</v>
      </c>
      <c r="C74" s="72">
        <f>IF($F$7=1,'Cash Flow St Analysis'!C44,IF($F$7=2,'Cash Flow St Analysis'!D44,IF($F$7=3,'Cash Flow St Analysis'!E44,IF($F$7=4,'Cash Flow St Analysis'!F44,'Cash Flow St Analysis'!G44))))</f>
        <v>7756</v>
      </c>
    </row>
    <row r="75" spans="1:21" x14ac:dyDescent="0.35">
      <c r="B75" t="s">
        <v>164</v>
      </c>
      <c r="C75" s="72">
        <f>IF($F$7=1,'Cash Flow St Analysis'!C21,IF($F$7=2,'Cash Flow St Analysis'!D21,IF($F$7=3,'Cash Flow St Analysis'!E21,IF($F$7=4,'Cash Flow St Analysis'!F21,'Cash Flow St Analysis'!G21))))</f>
        <v>25258</v>
      </c>
    </row>
    <row r="76" spans="1:21" x14ac:dyDescent="0.35">
      <c r="B76" t="s">
        <v>165</v>
      </c>
      <c r="C76" s="72">
        <f>IF($F$7=1,'Cash Flow St Analysis'!C28,IF($F$7=2,'Cash Flow St Analysis'!D28,IF($F$7=3,'Cash Flow St Analysis'!E28,IF($F$7=4,'Cash Flow St Analysis'!F28,'Cash Flow St Analysis'!G28))))</f>
        <v>-9128</v>
      </c>
    </row>
    <row r="77" spans="1:21" x14ac:dyDescent="0.35">
      <c r="B77" t="s">
        <v>166</v>
      </c>
      <c r="C77" s="72">
        <f>IF($F$7=1,'Cash Flow St Analysis'!C40,IF($F$7=2,'Cash Flow St Analysis'!D40,IF($F$7=3,'Cash Flow St Analysis'!E40,IF($F$7=4,'Cash Flow St Analysis'!F40,'Cash Flow St Analysis'!G40))))</f>
        <v>-14299</v>
      </c>
    </row>
    <row r="78" spans="1:21" x14ac:dyDescent="0.35">
      <c r="B78" t="s">
        <v>167</v>
      </c>
      <c r="C78" s="72">
        <f>IF($F$7=1,'Cash Flow St Analysis'!C45,IF($F$7=2,'Cash Flow St Analysis'!D45,IF($F$7=3,'Cash Flow St Analysis'!E45,IF($F$7=4,'Cash Flow St Analysis'!F45,'Cash Flow St Analysis'!G45))))</f>
        <v>9587</v>
      </c>
    </row>
    <row r="80" spans="1:21" x14ac:dyDescent="0.35">
      <c r="C80" s="72"/>
    </row>
    <row r="84" spans="2:7" x14ac:dyDescent="0.35">
      <c r="B84" s="110" t="s">
        <v>171</v>
      </c>
      <c r="C84" s="96"/>
      <c r="D84" s="96"/>
      <c r="E84" s="96"/>
      <c r="F84" s="96"/>
      <c r="G84" s="96"/>
    </row>
    <row r="85" spans="2:7" x14ac:dyDescent="0.35">
      <c r="B85" s="111" t="s">
        <v>109</v>
      </c>
      <c r="C85" s="111">
        <v>2020</v>
      </c>
      <c r="D85" s="111">
        <v>2021</v>
      </c>
      <c r="E85" s="111">
        <v>2022</v>
      </c>
      <c r="F85" s="111">
        <v>2023</v>
      </c>
      <c r="G85" s="111">
        <v>2024</v>
      </c>
    </row>
    <row r="86" spans="2:7" x14ac:dyDescent="0.35">
      <c r="B86" t="s">
        <v>164</v>
      </c>
      <c r="C86" s="72">
        <f>'Cash Flow St Analysis'!C21</f>
        <v>25258</v>
      </c>
      <c r="D86" s="72">
        <f>'Cash Flow St Analysis'!D21</f>
        <v>36072</v>
      </c>
      <c r="E86" s="72">
        <f>'Cash Flow St Analysis'!E21</f>
        <v>24183</v>
      </c>
      <c r="F86" s="72">
        <f>'Cash Flow St Analysis'!F21</f>
        <v>28846</v>
      </c>
      <c r="G86" s="72">
        <f>'Cash Flow St Analysis'!G21</f>
        <v>35723</v>
      </c>
    </row>
    <row r="87" spans="2:7" x14ac:dyDescent="0.35">
      <c r="B87" t="s">
        <v>165</v>
      </c>
      <c r="C87" s="72">
        <f>'Cash Flow St Analysis'!C28</f>
        <v>-9128</v>
      </c>
      <c r="D87" s="72">
        <f>'Cash Flow St Analysis'!D28</f>
        <v>-10071</v>
      </c>
      <c r="E87" s="72">
        <f>'Cash Flow St Analysis'!E28</f>
        <v>-6015</v>
      </c>
      <c r="F87" s="72">
        <f>'Cash Flow St Analysis'!F28</f>
        <v>-17722</v>
      </c>
      <c r="G87" s="72">
        <f>'Cash Flow St Analysis'!G28</f>
        <v>-21287</v>
      </c>
    </row>
    <row r="88" spans="2:7" x14ac:dyDescent="0.35">
      <c r="B88" t="s">
        <v>166</v>
      </c>
      <c r="C88" s="72">
        <f>'Cash Flow St Analysis'!C40</f>
        <v>-14299</v>
      </c>
      <c r="D88" s="72">
        <f>'Cash Flow St Analysis'!D40</f>
        <v>-16117</v>
      </c>
      <c r="E88" s="72">
        <f>'Cash Flow St Analysis'!E40</f>
        <v>-22828</v>
      </c>
      <c r="F88" s="72">
        <f>'Cash Flow St Analysis'!F40</f>
        <v>-17039</v>
      </c>
      <c r="G88" s="72">
        <f>'Cash Flow St Analysis'!G40</f>
        <v>-13414</v>
      </c>
    </row>
    <row r="92" spans="2:7" x14ac:dyDescent="0.35">
      <c r="B92" s="110" t="s">
        <v>172</v>
      </c>
      <c r="C92" s="96"/>
      <c r="D92" s="96"/>
      <c r="E92" s="96"/>
      <c r="F92" s="96"/>
      <c r="G92" s="96"/>
    </row>
    <row r="93" spans="2:7" x14ac:dyDescent="0.35">
      <c r="B93" s="111" t="s">
        <v>109</v>
      </c>
      <c r="C93" s="111">
        <v>2020</v>
      </c>
      <c r="D93" s="111">
        <v>2021</v>
      </c>
      <c r="E93" s="111">
        <v>2022</v>
      </c>
      <c r="F93" s="111">
        <v>2023</v>
      </c>
      <c r="G93" s="111">
        <v>2024</v>
      </c>
    </row>
    <row r="94" spans="2:7" x14ac:dyDescent="0.35">
      <c r="B94" t="s">
        <v>18</v>
      </c>
      <c r="C94" s="72">
        <f>'Cash Flow St Analysis'!C16</f>
        <v>154</v>
      </c>
      <c r="D94" s="72">
        <f>'Cash Flow St Analysis'!D16</f>
        <v>-1086</v>
      </c>
      <c r="E94" s="72">
        <f>'Cash Flow St Analysis'!E16</f>
        <v>-1796</v>
      </c>
      <c r="F94" s="72">
        <f>'Cash Flow St Analysis'!F16</f>
        <v>240</v>
      </c>
      <c r="G94" s="72">
        <f>'Cash Flow St Analysis'!G16</f>
        <v>-797</v>
      </c>
    </row>
    <row r="95" spans="2:7" x14ac:dyDescent="0.35">
      <c r="B95" t="s">
        <v>19</v>
      </c>
      <c r="C95" s="72">
        <f>'Cash Flow St Analysis'!C17</f>
        <v>-300</v>
      </c>
      <c r="D95" s="72">
        <f>'Cash Flow St Analysis'!D17</f>
        <v>-2395</v>
      </c>
      <c r="E95" s="72">
        <f>'Cash Flow St Analysis'!E17</f>
        <v>-11764</v>
      </c>
      <c r="F95" s="72">
        <f>'Cash Flow St Analysis'!F17</f>
        <v>-528</v>
      </c>
      <c r="G95" s="72">
        <f>'Cash Flow St Analysis'!G17</f>
        <v>2017</v>
      </c>
    </row>
    <row r="96" spans="2:7" x14ac:dyDescent="0.35">
      <c r="B96" t="s">
        <v>31</v>
      </c>
      <c r="C96" s="72">
        <f>'Cash Flow St Analysis'!C18</f>
        <v>-274</v>
      </c>
      <c r="D96" s="72">
        <f>'Cash Flow St Analysis'!D18</f>
        <v>6966</v>
      </c>
      <c r="E96" s="72">
        <f>'Cash Flow St Analysis'!E18</f>
        <v>5520</v>
      </c>
      <c r="F96" s="72">
        <f>'Cash Flow St Analysis'!F18</f>
        <v>-1425</v>
      </c>
      <c r="G96" s="72">
        <f>'Cash Flow St Analysis'!G18</f>
        <v>2515</v>
      </c>
    </row>
    <row r="97" spans="2:7" x14ac:dyDescent="0.35">
      <c r="B97" t="s">
        <v>32</v>
      </c>
      <c r="C97" s="72">
        <f>'Cash Flow St Analysis'!C19</f>
        <v>186</v>
      </c>
      <c r="D97" s="72">
        <f>'Cash Flow St Analysis'!D19</f>
        <v>4623</v>
      </c>
      <c r="E97" s="72">
        <f>'Cash Flow St Analysis'!E19</f>
        <v>1404</v>
      </c>
      <c r="F97" s="72">
        <f>'Cash Flow St Analysis'!F19</f>
        <v>4393</v>
      </c>
      <c r="G97" s="72">
        <f>'Cash Flow St Analysis'!G19</f>
        <v>-1324</v>
      </c>
    </row>
    <row r="98" spans="2:7" x14ac:dyDescent="0.35">
      <c r="B98" t="s">
        <v>33</v>
      </c>
      <c r="C98" s="72">
        <f>'Cash Flow St Analysis'!C20</f>
        <v>-93</v>
      </c>
      <c r="D98" s="72">
        <f>'Cash Flow St Analysis'!D20</f>
        <v>-136</v>
      </c>
      <c r="E98" s="72">
        <f>'Cash Flow St Analysis'!E20</f>
        <v>39</v>
      </c>
      <c r="F98" s="72">
        <f>'Cash Flow St Analysis'!F20</f>
        <v>-127</v>
      </c>
      <c r="G98" s="72">
        <f>'Cash Flow St Analysis'!G20</f>
        <v>-468</v>
      </c>
    </row>
    <row r="101" spans="2:7" x14ac:dyDescent="0.35">
      <c r="B101" s="110" t="s">
        <v>173</v>
      </c>
      <c r="C101" s="96"/>
    </row>
    <row r="102" spans="2:7" x14ac:dyDescent="0.35">
      <c r="B102" s="111" t="s">
        <v>117</v>
      </c>
      <c r="C102" s="119" t="s">
        <v>118</v>
      </c>
    </row>
    <row r="103" spans="2:7" x14ac:dyDescent="0.35">
      <c r="B103" s="5" t="s">
        <v>197</v>
      </c>
      <c r="C103" s="152">
        <f>IF($F$7=1,'Ratio Analysis'!C12,IF($F$7=2,'Ratio Analysis'!D12,IF($F$7=3,'Ratio Analysis'!E12,IF($F$7=4,'Ratio Analysis'!F12,'Ratio Analysis'!G12))))</f>
        <v>2.7774808956340512E-2</v>
      </c>
    </row>
    <row r="104" spans="2:7" x14ac:dyDescent="0.35">
      <c r="B104" s="5" t="s">
        <v>199</v>
      </c>
      <c r="C104" s="129">
        <f>IF($F$7=1,'Ratio Analysis'!C13,IF($F$7=2,'Ratio Analysis'!D13,IF($F$7=3,'Ratio Analysis'!E13,IF($F$7=4,'Ratio Analysis'!F13,'Ratio Analysis'!G13))))</f>
        <v>0.92107594936708859</v>
      </c>
    </row>
    <row r="105" spans="2:7" x14ac:dyDescent="0.35">
      <c r="B105" s="5" t="s">
        <v>138</v>
      </c>
      <c r="C105" s="129">
        <f>IF($F$7=1,'Ratio Analysis'!C29,IF($F$7=2,'Ratio Analysis'!D29,IF($F$7=3,'Ratio Analysis'!E29,IF($F$7=4,'Ratio Analysis'!F29,'Ratio Analysis'!G29))))</f>
        <v>0.12167373698418819</v>
      </c>
    </row>
    <row r="106" spans="2:7" x14ac:dyDescent="0.35">
      <c r="B106" s="5" t="s">
        <v>139</v>
      </c>
      <c r="C106" s="129">
        <f>IF($F$7=1,'Ratio Analysis'!C30,IF($F$7=2,'Ratio Analysis'!D30,IF($F$7=3,'Ratio Analysis'!E30,IF($F$7=4,'Ratio Analysis'!F30,'Ratio Analysis'!G30))))</f>
        <v>0.2400768002433275</v>
      </c>
    </row>
    <row r="107" spans="2:7" x14ac:dyDescent="0.35">
      <c r="B107" s="5" t="s">
        <v>140</v>
      </c>
      <c r="C107" s="129">
        <f>IF($F$7=1,'Ratio Analysis'!C31,IF($F$7=2,'Ratio Analysis'!D31,IF($F$7=3,'Ratio Analysis'!E31,IF($F$7=4,'Ratio Analysis'!F31,'Ratio Analysis'!G31))))</f>
        <v>0.32469469083429747</v>
      </c>
    </row>
    <row r="108" spans="2:7" x14ac:dyDescent="0.35">
      <c r="B108" s="5" t="s">
        <v>170</v>
      </c>
      <c r="C108" s="129">
        <f>IF($F$7=1,'Ratio Analysis'!C32,IF($F$7=2,'Ratio Analysis'!D32,IF($F$7=3,'Ratio Analysis'!E32,IF($F$7=4,'Ratio Analysis'!F32,'Ratio Analysis'!G32))))</f>
        <v>0.18862519927935401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7 k 0 Y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7 k 0 Y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5 N G F k o i k e 4 D g A A A B E A A A A T A B w A R m 9 y b X V s Y X M v U 2 V j d G l v b j E u b S C i G A A o o B Q A A A A A A A A A A A A A A A A A A A A A A A A A A A A r T k 0 u y c z P U w i G 0 I b W A F B L A Q I t A B Q A A g A I A O 5 N G F k t 3 t E W p A A A A P Y A A A A S A A A A A A A A A A A A A A A A A A A A A A B D b 2 5 m a W c v U G F j a 2 F n Z S 5 4 b W x Q S w E C L Q A U A A I A C A D u T R h Z D 8 r p q 6 Q A A A D p A A A A E w A A A A A A A A A A A A A A A A D w A A A A W 0 N v b n R l b n R f V H l w Z X N d L n h t b F B L A Q I t A B Q A A g A I A O 5 N G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4 h x 7 i c Y h y T o P p a A t 2 q T B j A A A A A A I A A A A A A B B m A A A A A Q A A I A A A A A q W 6 k o K 0 v k E u H X t v h T 7 s 4 u W V h g C 2 E 5 R + j Y l h y x G d U y i A A A A A A 6 A A A A A A g A A I A A A A J E C X S K + Y S l N U B T Z v Z J i e A L J 9 e C u B C B F D H X X 5 b 2 C p g j R U A A A A L + c N l 2 I I J 3 / y h c o + c E W J d H m t O 9 i 1 v Q R e g C b U w R / 6 M 7 U W v K + D w W B f g f 9 C V C F L A Q n J v N w 4 x 6 c R 3 o W W a w y L U Q i s 6 J b n K d z E S 1 R z T Q D 8 D M c T A 8 d Q A A A A I i z 1 l g O H h w u 0 c A d g h T d S + 9 / f 2 N z a J Z B W q X 7 M I 3 P o 9 D S U Y 3 R / d D C z 7 p U t 0 0 C X J n r E E e N J p u i c g S b 8 c 9 2 A X 9 O q S Y = < / D a t a M a s h u p > 
</file>

<file path=customXml/itemProps1.xml><?xml version="1.0" encoding="utf-8"?>
<ds:datastoreItem xmlns:ds="http://schemas.openxmlformats.org/officeDocument/2006/customXml" ds:itemID="{912289DA-C060-4A2E-BB48-CB1548D4C6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 Me</vt:lpstr>
      <vt:lpstr>Analysis &gt;&gt;</vt:lpstr>
      <vt:lpstr>Balance Sheet Analysis</vt:lpstr>
      <vt:lpstr>Income Statement Analysis</vt:lpstr>
      <vt:lpstr>Cash Flow St Analysis</vt:lpstr>
      <vt:lpstr>Ratio Analysis</vt:lpstr>
      <vt:lpstr>Engine &gt;&gt;</vt:lpstr>
      <vt:lpstr>Dashboards 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Bodan Pavlovski</dc:creator>
  <cp:lastModifiedBy>Bodan Pavlovski</cp:lastModifiedBy>
  <dcterms:created xsi:type="dcterms:W3CDTF">2024-08-24T07:46:47Z</dcterms:created>
  <dcterms:modified xsi:type="dcterms:W3CDTF">2024-08-27T10:17:07Z</dcterms:modified>
</cp:coreProperties>
</file>