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5" yWindow="-15" windowWidth="24330" windowHeight="13800"/>
  </bookViews>
  <sheets>
    <sheet name="Detail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11" i="1"/>
  <c r="G27"/>
  <c r="E27"/>
  <c r="D27"/>
  <c r="D28"/>
  <c r="E28"/>
  <c r="G28"/>
  <c r="G30" s="1"/>
  <c r="M27" s="1"/>
  <c r="H28"/>
  <c r="H24"/>
  <c r="G24"/>
  <c r="E24"/>
  <c r="H26"/>
  <c r="G26"/>
  <c r="E26"/>
  <c r="E25"/>
  <c r="E18"/>
  <c r="D18"/>
  <c r="E17"/>
  <c r="D17"/>
  <c r="E16"/>
  <c r="D16"/>
  <c r="E15"/>
  <c r="D15"/>
  <c r="E14"/>
  <c r="D14"/>
  <c r="H65"/>
  <c r="G65"/>
  <c r="E65"/>
  <c r="D65"/>
  <c r="E62"/>
  <c r="D62"/>
  <c r="E55"/>
  <c r="H61"/>
  <c r="G61"/>
  <c r="E53"/>
  <c r="D53"/>
  <c r="E54"/>
  <c r="D54"/>
  <c r="E51"/>
  <c r="D51"/>
  <c r="D57" s="1"/>
  <c r="G55" s="1"/>
  <c r="C110"/>
  <c r="C109"/>
  <c r="E83"/>
  <c r="D83"/>
  <c r="D80"/>
  <c r="D79"/>
  <c r="H82"/>
  <c r="G82"/>
  <c r="E82"/>
  <c r="D82"/>
  <c r="H83"/>
  <c r="G83"/>
  <c r="H81"/>
  <c r="G81"/>
  <c r="C81"/>
  <c r="C85" s="1"/>
  <c r="K82" s="1"/>
  <c r="S82" s="1"/>
  <c r="H80"/>
  <c r="G80"/>
  <c r="E80"/>
  <c r="E79"/>
  <c r="H79"/>
  <c r="G79"/>
  <c r="H63"/>
  <c r="H62"/>
  <c r="G62"/>
  <c r="F62"/>
  <c r="G63"/>
  <c r="F63"/>
  <c r="F61"/>
  <c r="C61"/>
  <c r="D61" s="1"/>
  <c r="C45"/>
  <c r="E45" s="1"/>
  <c r="C41"/>
  <c r="E41" s="1"/>
  <c r="E64"/>
  <c r="E63"/>
  <c r="D63"/>
  <c r="H64"/>
  <c r="G64"/>
  <c r="D64"/>
  <c r="E43"/>
  <c r="D43"/>
  <c r="E42"/>
  <c r="D42"/>
  <c r="E7"/>
  <c r="D7"/>
  <c r="D6"/>
  <c r="D8"/>
  <c r="D5"/>
  <c r="D4"/>
  <c r="E6"/>
  <c r="E8"/>
  <c r="E4"/>
  <c r="E5"/>
  <c r="F30"/>
  <c r="L26" s="1"/>
  <c r="R26" s="1"/>
  <c r="C30"/>
  <c r="I25" s="1"/>
  <c r="O25" s="1"/>
  <c r="J85"/>
  <c r="R83" s="1"/>
  <c r="Z83" s="1"/>
  <c r="I85"/>
  <c r="Q79" s="1"/>
  <c r="F85"/>
  <c r="N83" s="1"/>
  <c r="V83" s="1"/>
  <c r="C10"/>
  <c r="F5" s="1"/>
  <c r="C20"/>
  <c r="F16" s="1"/>
  <c r="I16" s="1"/>
  <c r="C57"/>
  <c r="F55" s="1"/>
  <c r="I55" s="1"/>
  <c r="C103"/>
  <c r="E97" s="1"/>
  <c r="D103"/>
  <c r="F98" s="1"/>
  <c r="H98" s="1"/>
  <c r="D113"/>
  <c r="G110" s="1"/>
  <c r="J110" s="1"/>
  <c r="E113"/>
  <c r="H108" s="1"/>
  <c r="C67" l="1"/>
  <c r="I62" s="1"/>
  <c r="O62" s="1"/>
  <c r="E61"/>
  <c r="E67" s="1"/>
  <c r="D41"/>
  <c r="D47" s="1"/>
  <c r="G45" s="1"/>
  <c r="J45" s="1"/>
  <c r="E81"/>
  <c r="H85"/>
  <c r="P81" s="1"/>
  <c r="D81"/>
  <c r="D85" s="1"/>
  <c r="L83" s="1"/>
  <c r="T83" s="1"/>
  <c r="D30"/>
  <c r="J25" s="1"/>
  <c r="P25" s="1"/>
  <c r="D45"/>
  <c r="F67"/>
  <c r="L62" s="1"/>
  <c r="G85"/>
  <c r="O82" s="1"/>
  <c r="H30"/>
  <c r="N27" s="1"/>
  <c r="T27" s="1"/>
  <c r="D20"/>
  <c r="G14" s="1"/>
  <c r="J14" s="1"/>
  <c r="E20"/>
  <c r="H16" s="1"/>
  <c r="K16" s="1"/>
  <c r="E57"/>
  <c r="H55" s="1"/>
  <c r="K55" s="1"/>
  <c r="C113"/>
  <c r="F108" s="1"/>
  <c r="I108" s="1"/>
  <c r="D67"/>
  <c r="J62" s="1"/>
  <c r="P62" s="1"/>
  <c r="C47"/>
  <c r="F45" s="1"/>
  <c r="I45" s="1"/>
  <c r="H67"/>
  <c r="N61" s="1"/>
  <c r="T61" s="1"/>
  <c r="G67"/>
  <c r="M61" s="1"/>
  <c r="S61" s="1"/>
  <c r="D10"/>
  <c r="G5" s="1"/>
  <c r="J5" s="1"/>
  <c r="O81"/>
  <c r="W81" s="1"/>
  <c r="P79"/>
  <c r="P80"/>
  <c r="X80" s="1"/>
  <c r="O80"/>
  <c r="W80" s="1"/>
  <c r="P83"/>
  <c r="X83" s="1"/>
  <c r="P82"/>
  <c r="X82" s="1"/>
  <c r="M26"/>
  <c r="S26" s="1"/>
  <c r="M25"/>
  <c r="M24"/>
  <c r="S24" s="1"/>
  <c r="M28"/>
  <c r="S28" s="1"/>
  <c r="E47"/>
  <c r="N28"/>
  <c r="T28" s="1"/>
  <c r="E30"/>
  <c r="S27"/>
  <c r="I26"/>
  <c r="I28"/>
  <c r="O28" s="1"/>
  <c r="L25"/>
  <c r="R25" s="1"/>
  <c r="L28"/>
  <c r="R28" s="1"/>
  <c r="G18"/>
  <c r="J18" s="1"/>
  <c r="F18"/>
  <c r="I18" s="1"/>
  <c r="F8"/>
  <c r="I8" s="1"/>
  <c r="W82"/>
  <c r="E85"/>
  <c r="M82" s="1"/>
  <c r="U82" s="1"/>
  <c r="K83"/>
  <c r="S83" s="1"/>
  <c r="I24"/>
  <c r="O24" s="1"/>
  <c r="L24"/>
  <c r="R24" s="1"/>
  <c r="X81"/>
  <c r="R82"/>
  <c r="Z82" s="1"/>
  <c r="Q82"/>
  <c r="Y82" s="1"/>
  <c r="N82"/>
  <c r="V82" s="1"/>
  <c r="E10"/>
  <c r="G54"/>
  <c r="J54" s="1"/>
  <c r="G52"/>
  <c r="J52" s="1"/>
  <c r="G51"/>
  <c r="J51" s="1"/>
  <c r="F4"/>
  <c r="I4" s="1"/>
  <c r="F6"/>
  <c r="I6" s="1"/>
  <c r="K108"/>
  <c r="G97"/>
  <c r="Y79"/>
  <c r="R62"/>
  <c r="J55"/>
  <c r="L55" s="1"/>
  <c r="G107"/>
  <c r="J107" s="1"/>
  <c r="H111"/>
  <c r="K111" s="1"/>
  <c r="G109"/>
  <c r="J109" s="1"/>
  <c r="H110"/>
  <c r="K110" s="1"/>
  <c r="F110"/>
  <c r="I110" s="1"/>
  <c r="G108"/>
  <c r="F100"/>
  <c r="H100" s="1"/>
  <c r="E99"/>
  <c r="G99" s="1"/>
  <c r="F101"/>
  <c r="H101" s="1"/>
  <c r="E98"/>
  <c r="G98" s="1"/>
  <c r="I98" s="1"/>
  <c r="F97"/>
  <c r="R81"/>
  <c r="Z81" s="1"/>
  <c r="N81"/>
  <c r="V81" s="1"/>
  <c r="K80"/>
  <c r="S80" s="1"/>
  <c r="K79"/>
  <c r="R79"/>
  <c r="R80"/>
  <c r="Z80" s="1"/>
  <c r="N79"/>
  <c r="N80"/>
  <c r="V80" s="1"/>
  <c r="I5"/>
  <c r="H107"/>
  <c r="K107" s="1"/>
  <c r="G111"/>
  <c r="J111" s="1"/>
  <c r="H109"/>
  <c r="K109" s="1"/>
  <c r="E100"/>
  <c r="G100" s="1"/>
  <c r="F99"/>
  <c r="H99" s="1"/>
  <c r="E101"/>
  <c r="G101" s="1"/>
  <c r="Q81"/>
  <c r="Y81" s="1"/>
  <c r="K81"/>
  <c r="S81" s="1"/>
  <c r="Q83"/>
  <c r="Y83" s="1"/>
  <c r="Q80"/>
  <c r="F52"/>
  <c r="I52" s="1"/>
  <c r="G53"/>
  <c r="J53" s="1"/>
  <c r="F54"/>
  <c r="I54" s="1"/>
  <c r="F51"/>
  <c r="I27"/>
  <c r="O27" s="1"/>
  <c r="F15"/>
  <c r="I15" s="1"/>
  <c r="F14"/>
  <c r="F53"/>
  <c r="I53" s="1"/>
  <c r="L27"/>
  <c r="R27" s="1"/>
  <c r="F17"/>
  <c r="I17" s="1"/>
  <c r="F7"/>
  <c r="I7" s="1"/>
  <c r="L65" l="1"/>
  <c r="R65" s="1"/>
  <c r="I65"/>
  <c r="O65" s="1"/>
  <c r="L63"/>
  <c r="R63" s="1"/>
  <c r="I63"/>
  <c r="O63" s="1"/>
  <c r="L64"/>
  <c r="R64" s="1"/>
  <c r="I61"/>
  <c r="O61" s="1"/>
  <c r="I64"/>
  <c r="O64" s="1"/>
  <c r="L80"/>
  <c r="T80" s="1"/>
  <c r="L81"/>
  <c r="T81" s="1"/>
  <c r="L82"/>
  <c r="T82" s="1"/>
  <c r="AA82" s="1"/>
  <c r="J24"/>
  <c r="P24" s="1"/>
  <c r="P30" s="1"/>
  <c r="O83"/>
  <c r="W83" s="1"/>
  <c r="H51"/>
  <c r="K51" s="1"/>
  <c r="O79"/>
  <c r="O85" s="1"/>
  <c r="L79"/>
  <c r="T79" s="1"/>
  <c r="T85" s="1"/>
  <c r="L61"/>
  <c r="R61" s="1"/>
  <c r="J64"/>
  <c r="P64" s="1"/>
  <c r="J28"/>
  <c r="P28" s="1"/>
  <c r="N24"/>
  <c r="T24" s="1"/>
  <c r="J26"/>
  <c r="P26" s="1"/>
  <c r="N26"/>
  <c r="T26" s="1"/>
  <c r="J27"/>
  <c r="P27" s="1"/>
  <c r="J63"/>
  <c r="P63" s="1"/>
  <c r="N25"/>
  <c r="T25" s="1"/>
  <c r="F107"/>
  <c r="I107" s="1"/>
  <c r="L107" s="1"/>
  <c r="H53"/>
  <c r="K53" s="1"/>
  <c r="H54"/>
  <c r="K54" s="1"/>
  <c r="L54" s="1"/>
  <c r="H52"/>
  <c r="K52" s="1"/>
  <c r="H15"/>
  <c r="K15" s="1"/>
  <c r="G16"/>
  <c r="J16" s="1"/>
  <c r="L16" s="1"/>
  <c r="G15"/>
  <c r="J15" s="1"/>
  <c r="G17"/>
  <c r="J17" s="1"/>
  <c r="H14"/>
  <c r="K14" s="1"/>
  <c r="H17"/>
  <c r="K17" s="1"/>
  <c r="H18"/>
  <c r="K18" s="1"/>
  <c r="L18" s="1"/>
  <c r="F43"/>
  <c r="I43" s="1"/>
  <c r="F111"/>
  <c r="I111" s="1"/>
  <c r="F109"/>
  <c r="I109" s="1"/>
  <c r="L109" s="1"/>
  <c r="M64"/>
  <c r="S64" s="1"/>
  <c r="M65"/>
  <c r="S65" s="1"/>
  <c r="M63"/>
  <c r="S63" s="1"/>
  <c r="J65"/>
  <c r="P65" s="1"/>
  <c r="J61"/>
  <c r="P61" s="1"/>
  <c r="F41"/>
  <c r="I41" s="1"/>
  <c r="F44"/>
  <c r="I44" s="1"/>
  <c r="F42"/>
  <c r="I42" s="1"/>
  <c r="N63"/>
  <c r="T63" s="1"/>
  <c r="N64"/>
  <c r="T64" s="1"/>
  <c r="N65"/>
  <c r="T65" s="1"/>
  <c r="N62"/>
  <c r="T62" s="1"/>
  <c r="M62"/>
  <c r="S62" s="1"/>
  <c r="G41"/>
  <c r="J41" s="1"/>
  <c r="G44"/>
  <c r="J44" s="1"/>
  <c r="G42"/>
  <c r="J42" s="1"/>
  <c r="G43"/>
  <c r="J43" s="1"/>
  <c r="G4"/>
  <c r="J4" s="1"/>
  <c r="G6"/>
  <c r="J6" s="1"/>
  <c r="G7"/>
  <c r="J7" s="1"/>
  <c r="G8"/>
  <c r="J8" s="1"/>
  <c r="I30"/>
  <c r="O26"/>
  <c r="O30" s="1"/>
  <c r="R30"/>
  <c r="K26"/>
  <c r="Q26" s="1"/>
  <c r="K28"/>
  <c r="Q28" s="1"/>
  <c r="U28" s="1"/>
  <c r="L30"/>
  <c r="M30"/>
  <c r="S25"/>
  <c r="S30" s="1"/>
  <c r="K64"/>
  <c r="Q64" s="1"/>
  <c r="F20"/>
  <c r="H44"/>
  <c r="K44" s="1"/>
  <c r="H5"/>
  <c r="K5" s="1"/>
  <c r="L5" s="1"/>
  <c r="H8"/>
  <c r="K8" s="1"/>
  <c r="K61"/>
  <c r="Q61" s="1"/>
  <c r="H41"/>
  <c r="K41" s="1"/>
  <c r="H45"/>
  <c r="K45" s="1"/>
  <c r="L45" s="1"/>
  <c r="H43"/>
  <c r="K43" s="1"/>
  <c r="H42"/>
  <c r="K42" s="1"/>
  <c r="M79"/>
  <c r="U79" s="1"/>
  <c r="L85"/>
  <c r="Y80"/>
  <c r="Y85" s="1"/>
  <c r="Q85"/>
  <c r="K63"/>
  <c r="Q63" s="1"/>
  <c r="K24"/>
  <c r="N85"/>
  <c r="K85"/>
  <c r="P85"/>
  <c r="R85"/>
  <c r="M83"/>
  <c r="U83" s="1"/>
  <c r="AA83" s="1"/>
  <c r="M81"/>
  <c r="U81" s="1"/>
  <c r="M80"/>
  <c r="U80" s="1"/>
  <c r="K25"/>
  <c r="Q25" s="1"/>
  <c r="H4"/>
  <c r="K4" s="1"/>
  <c r="K62"/>
  <c r="Q62" s="1"/>
  <c r="K65"/>
  <c r="Q65" s="1"/>
  <c r="H7"/>
  <c r="K7" s="1"/>
  <c r="H6"/>
  <c r="K6" s="1"/>
  <c r="K27"/>
  <c r="Q27" s="1"/>
  <c r="L53"/>
  <c r="L52"/>
  <c r="I101"/>
  <c r="I100"/>
  <c r="J57"/>
  <c r="I99"/>
  <c r="I14"/>
  <c r="I20" s="1"/>
  <c r="I51"/>
  <c r="F57"/>
  <c r="V79"/>
  <c r="V85" s="1"/>
  <c r="X79"/>
  <c r="X85" s="1"/>
  <c r="Z79"/>
  <c r="Z85" s="1"/>
  <c r="S79"/>
  <c r="S85" s="1"/>
  <c r="F103"/>
  <c r="H97"/>
  <c r="H103" s="1"/>
  <c r="G103"/>
  <c r="F10"/>
  <c r="L110"/>
  <c r="G57"/>
  <c r="H113"/>
  <c r="I10"/>
  <c r="J108"/>
  <c r="J113" s="1"/>
  <c r="G113"/>
  <c r="R67"/>
  <c r="E103"/>
  <c r="K113"/>
  <c r="F113" l="1"/>
  <c r="I113"/>
  <c r="L113" s="1"/>
  <c r="L67"/>
  <c r="L111"/>
  <c r="W79"/>
  <c r="W85" s="1"/>
  <c r="U27"/>
  <c r="AA81"/>
  <c r="T30"/>
  <c r="H57"/>
  <c r="N30"/>
  <c r="J30"/>
  <c r="K57"/>
  <c r="L17"/>
  <c r="L7"/>
  <c r="K20"/>
  <c r="J20"/>
  <c r="G20"/>
  <c r="H20"/>
  <c r="S67"/>
  <c r="U63"/>
  <c r="U65"/>
  <c r="T67"/>
  <c r="P67"/>
  <c r="J67"/>
  <c r="U61"/>
  <c r="I47"/>
  <c r="L44"/>
  <c r="F47"/>
  <c r="N67"/>
  <c r="U64"/>
  <c r="M67"/>
  <c r="U62"/>
  <c r="L42"/>
  <c r="L43"/>
  <c r="G47"/>
  <c r="L4"/>
  <c r="L6"/>
  <c r="J10"/>
  <c r="L8"/>
  <c r="G10"/>
  <c r="U85"/>
  <c r="U26"/>
  <c r="Q24"/>
  <c r="U24" s="1"/>
  <c r="K30"/>
  <c r="U25"/>
  <c r="J47"/>
  <c r="L15"/>
  <c r="H47"/>
  <c r="L41"/>
  <c r="M85"/>
  <c r="L108"/>
  <c r="AA80"/>
  <c r="K10"/>
  <c r="K67"/>
  <c r="Q67"/>
  <c r="H10"/>
  <c r="I103"/>
  <c r="I97"/>
  <c r="AA79"/>
  <c r="I57"/>
  <c r="L51"/>
  <c r="L14"/>
  <c r="L57" l="1"/>
  <c r="L47"/>
  <c r="L10"/>
  <c r="U30"/>
  <c r="Q30"/>
  <c r="I67"/>
  <c r="L20"/>
  <c r="K47"/>
  <c r="AA85"/>
  <c r="O67" l="1"/>
  <c r="U67" s="1"/>
</calcChain>
</file>

<file path=xl/sharedStrings.xml><?xml version="1.0" encoding="utf-8"?>
<sst xmlns="http://schemas.openxmlformats.org/spreadsheetml/2006/main" count="1241" uniqueCount="322">
  <si>
    <t>T20 League</t>
  </si>
  <si>
    <t>Best Batsman</t>
  </si>
  <si>
    <t>Best Bowler</t>
  </si>
  <si>
    <t>Best All Rounder</t>
  </si>
  <si>
    <t>Premier League</t>
  </si>
  <si>
    <t>Rookie of the Year</t>
  </si>
  <si>
    <t>Umpire of the Year</t>
  </si>
  <si>
    <t>Fielder of the Year</t>
  </si>
  <si>
    <t>Wicketkeeper of the Year</t>
  </si>
  <si>
    <t>Best Batting performance of the year</t>
  </si>
  <si>
    <t>Most Centuries in the season</t>
  </si>
  <si>
    <t>Best Bowling performance of the Year</t>
  </si>
  <si>
    <t>Best news article of the season</t>
  </si>
  <si>
    <t>Best Disciplined Team of the Year</t>
  </si>
  <si>
    <t>Runs</t>
  </si>
  <si>
    <t>Ave</t>
  </si>
  <si>
    <t>Strike rate</t>
  </si>
  <si>
    <t>Runs Pct</t>
  </si>
  <si>
    <t>Avg Pct</t>
  </si>
  <si>
    <t>SR Pct</t>
  </si>
  <si>
    <t>TOTAL</t>
  </si>
  <si>
    <t>Wkts</t>
  </si>
  <si>
    <t>Eco</t>
  </si>
  <si>
    <t>Avg</t>
  </si>
  <si>
    <t>Wkt pct</t>
  </si>
  <si>
    <t>Eco Pct</t>
  </si>
  <si>
    <t>Srike Rate</t>
  </si>
  <si>
    <t>Wicket</t>
  </si>
  <si>
    <t>Champion of champions</t>
  </si>
  <si>
    <t>Season Awards</t>
  </si>
  <si>
    <t>Highest Partnership of the Year</t>
  </si>
  <si>
    <t>Catches</t>
  </si>
  <si>
    <t>Run Outs</t>
  </si>
  <si>
    <t>Catches pct</t>
  </si>
  <si>
    <t>Run Outs Pct</t>
  </si>
  <si>
    <t>Stumpings</t>
  </si>
  <si>
    <t>Runs pct</t>
  </si>
  <si>
    <t>Catches Pct</t>
  </si>
  <si>
    <t>Stumpings Pct</t>
  </si>
  <si>
    <t>Player</t>
  </si>
  <si>
    <t xml:space="preserve">Umpire         </t>
  </si>
  <si>
    <t>Players</t>
  </si>
  <si>
    <t>Centuries</t>
  </si>
  <si>
    <t>Figures</t>
  </si>
  <si>
    <t>Author</t>
  </si>
  <si>
    <t>Title</t>
  </si>
  <si>
    <t>Team</t>
  </si>
  <si>
    <t>Fines</t>
  </si>
  <si>
    <t>Srike Rate Pct</t>
  </si>
  <si>
    <t>Wicket Pct</t>
  </si>
  <si>
    <t>Avg Weight</t>
  </si>
  <si>
    <t>Srike Rate Weight</t>
  </si>
  <si>
    <t>Wicket Weight</t>
  </si>
  <si>
    <t>Eco Weight</t>
  </si>
  <si>
    <t xml:space="preserve">Avg </t>
  </si>
  <si>
    <t>Runs Weight</t>
  </si>
  <si>
    <t>SR Weight</t>
  </si>
  <si>
    <t>Total Weight</t>
  </si>
  <si>
    <t>Wkt Weight</t>
  </si>
  <si>
    <t>Catches Weight</t>
  </si>
  <si>
    <t>Run Outs Weight</t>
  </si>
  <si>
    <t>Stumpings Weight</t>
  </si>
  <si>
    <t>Gopal Susarla</t>
  </si>
  <si>
    <t>Mayur Ostwal</t>
  </si>
  <si>
    <t>Narayan Madabusi</t>
  </si>
  <si>
    <t>Faiq Majeed</t>
  </si>
  <si>
    <t>Hamayun Zaheer</t>
  </si>
  <si>
    <t>Manjeet Inamdar</t>
  </si>
  <si>
    <t>Champion of Champions</t>
  </si>
  <si>
    <t>Rohit Saini</t>
  </si>
  <si>
    <t>Ujwal Khasale</t>
  </si>
  <si>
    <t>Warren Burton</t>
  </si>
  <si>
    <t>Sandeep Bollampally</t>
  </si>
  <si>
    <t>Dhiren Patel</t>
  </si>
  <si>
    <t>Omar Rafiq</t>
  </si>
  <si>
    <t>Bodha Chakraborty</t>
  </si>
  <si>
    <t>Aditya Kasukurti</t>
  </si>
  <si>
    <t>Dipal Patel</t>
  </si>
  <si>
    <t>Satyam Singh</t>
  </si>
  <si>
    <t>Jigar Shah</t>
  </si>
  <si>
    <t>Deepak Jammula</t>
  </si>
  <si>
    <t>Bhavya Khilnani</t>
  </si>
  <si>
    <t>Sandeep Tirugudu</t>
  </si>
  <si>
    <t>Ashish Singhal</t>
  </si>
  <si>
    <t>Raj Chitikila</t>
  </si>
  <si>
    <t>Bodhayan Chakraborty</t>
  </si>
  <si>
    <t>DATE</t>
  </si>
  <si>
    <t>TIME</t>
  </si>
  <si>
    <t>GAME</t>
  </si>
  <si>
    <t>UMPIRES</t>
  </si>
  <si>
    <t>GROUND</t>
  </si>
  <si>
    <t>10:00AM</t>
  </si>
  <si>
    <t>CSCC at FRCC-K</t>
  </si>
  <si>
    <t>FCCC and FCCC</t>
  </si>
  <si>
    <t>Lower Garden Acres</t>
  </si>
  <si>
    <t>RBCC at LCC</t>
  </si>
  <si>
    <t>CCCC and CCCC</t>
  </si>
  <si>
    <t>Cornerstone Park</t>
  </si>
  <si>
    <t>CCB at CCCC</t>
  </si>
  <si>
    <t>Boltz</t>
  </si>
  <si>
    <t>CCB at FCCC</t>
  </si>
  <si>
    <t>CSCC at RBCC</t>
  </si>
  <si>
    <t>CCB and CCB</t>
  </si>
  <si>
    <t>LCC at CSCC</t>
  </si>
  <si>
    <t>RBCC and RBCC</t>
  </si>
  <si>
    <t>Memorial Park</t>
  </si>
  <si>
    <t>FCCC at FRCC-K</t>
  </si>
  <si>
    <t>RBCC at CCB</t>
  </si>
  <si>
    <t>LCC and LCC</t>
  </si>
  <si>
    <t>Lincoln Junior High</t>
  </si>
  <si>
    <t>CCCC at FCCC</t>
  </si>
  <si>
    <t>LCC at RBCC</t>
  </si>
  <si>
    <t>CSCC and CSCC</t>
  </si>
  <si>
    <t>FCCC at LCC</t>
  </si>
  <si>
    <t>CCCC at FRCC-K</t>
  </si>
  <si>
    <t>CCB at RBCC</t>
  </si>
  <si>
    <t>RBCC at CCCC</t>
  </si>
  <si>
    <t>FRCC-K at LCC</t>
  </si>
  <si>
    <t>CCB at CSCC</t>
  </si>
  <si>
    <t>CSCC at LCC</t>
  </si>
  <si>
    <t>FCCC at CCCC</t>
  </si>
  <si>
    <t>FRCC-K and FRCC-K</t>
  </si>
  <si>
    <t>FRCC-K at CCB</t>
  </si>
  <si>
    <t>CSCC at CCB</t>
  </si>
  <si>
    <t>FRCC-K at FCCC</t>
  </si>
  <si>
    <t>CCCC at LCC</t>
  </si>
  <si>
    <t>CCCC at CSCC</t>
  </si>
  <si>
    <t>LCC at CCB</t>
  </si>
  <si>
    <t>FRCC-K at CSCC</t>
  </si>
  <si>
    <t>FCCC at RBCC</t>
  </si>
  <si>
    <t>FRCC-K at CCCC</t>
  </si>
  <si>
    <t>FCCC at CCB</t>
  </si>
  <si>
    <t>RBCC at CSCC</t>
  </si>
  <si>
    <t>LCC at FCCC</t>
  </si>
  <si>
    <t>CCB at FRCC-K</t>
  </si>
  <si>
    <t>CCCC at RBCC</t>
  </si>
  <si>
    <t>CSCC at FCCC</t>
  </si>
  <si>
    <t>LCC at CCCC</t>
  </si>
  <si>
    <t>RBCC at FRCC-K</t>
  </si>
  <si>
    <t>CCB at LCC</t>
  </si>
  <si>
    <t>02:00PM</t>
  </si>
  <si>
    <t>02:30PM</t>
  </si>
  <si>
    <t>CCB at BCC</t>
  </si>
  <si>
    <t>YCC at FRCC-S</t>
  </si>
  <si>
    <t>YCC and YCC</t>
  </si>
  <si>
    <t>LCC at FRCC-K</t>
  </si>
  <si>
    <t>YCC at FRCC-K</t>
  </si>
  <si>
    <t>CCCC at CCB</t>
  </si>
  <si>
    <t>FCCC at CSCC</t>
  </si>
  <si>
    <t>BCC and BCC</t>
  </si>
  <si>
    <t>CCB at FRCC-S</t>
  </si>
  <si>
    <t>FRCC-S at BCC</t>
  </si>
  <si>
    <t>YCC at BCC</t>
  </si>
  <si>
    <t>FRCC-S and FRCC-S</t>
  </si>
  <si>
    <t>FRCC-S at CSCC</t>
  </si>
  <si>
    <t>CSCC at UNM</t>
  </si>
  <si>
    <t>CCB at UNM</t>
  </si>
  <si>
    <t>UNM at YCC</t>
  </si>
  <si>
    <t>BCC at LCC</t>
  </si>
  <si>
    <t>FCCC at FRCC-S</t>
  </si>
  <si>
    <t>CCB at YCC</t>
  </si>
  <si>
    <t>CCCC at FRCC-S</t>
  </si>
  <si>
    <t>BCC at CSCC</t>
  </si>
  <si>
    <t>FRCC-S at LCC</t>
  </si>
  <si>
    <t>BCC at FRCC-K</t>
  </si>
  <si>
    <t>CCCC at BCC</t>
  </si>
  <si>
    <t>LCC at YCC</t>
  </si>
  <si>
    <t>FRCC-S at CCB</t>
  </si>
  <si>
    <t>YCC at CSCC</t>
  </si>
  <si>
    <t>BCC at UNM</t>
  </si>
  <si>
    <t>FRCC-K at UNM</t>
  </si>
  <si>
    <t>UNM at CCCC</t>
  </si>
  <si>
    <t>UNM at LCC</t>
  </si>
  <si>
    <t>CCCC at YCC</t>
  </si>
  <si>
    <t>BCC at YCC</t>
  </si>
  <si>
    <t>FCCC at UNM</t>
  </si>
  <si>
    <t>UNM at CSCC</t>
  </si>
  <si>
    <t>UNM at FRCC-S</t>
  </si>
  <si>
    <t>YCC at FCCC</t>
  </si>
  <si>
    <t>FRCC-S at FRCC-K</t>
  </si>
  <si>
    <t>11:00AM</t>
  </si>
  <si>
    <t>CACU and CACU</t>
  </si>
  <si>
    <t>FCCC at BCC</t>
  </si>
  <si>
    <t>12:00PM</t>
  </si>
  <si>
    <t>CSCC at CCCC</t>
  </si>
  <si>
    <t>BCC at FCCC</t>
  </si>
  <si>
    <t>Rating</t>
  </si>
  <si>
    <t>Mike Riley</t>
  </si>
  <si>
    <t>Vishwanath Mantha</t>
  </si>
  <si>
    <t>Rajesh Idate</t>
  </si>
  <si>
    <t>Ravi Sharma</t>
  </si>
  <si>
    <t>Jay Pathak</t>
  </si>
  <si>
    <t>Raymond Mascarenhas</t>
  </si>
  <si>
    <t>Birbal Singh</t>
  </si>
  <si>
    <t>Rajesh Rathod</t>
  </si>
  <si>
    <t>Rohit Shah</t>
  </si>
  <si>
    <t>Venu Burri</t>
  </si>
  <si>
    <t>Govind Alagappan</t>
  </si>
  <si>
    <t>Andrew Dunbar</t>
  </si>
  <si>
    <t>Ganesh Sharma</t>
  </si>
  <si>
    <t>Tejas Tank</t>
  </si>
  <si>
    <t>Garnett</t>
  </si>
  <si>
    <t>Dharmender</t>
  </si>
  <si>
    <t>Manju Mantha</t>
  </si>
  <si>
    <t>Naveen Kaje</t>
  </si>
  <si>
    <t>Ben George</t>
  </si>
  <si>
    <t>Chinmay Sahoo</t>
  </si>
  <si>
    <t>Humayun Zaheer</t>
  </si>
  <si>
    <t>Sharanbir Mander</t>
  </si>
  <si>
    <t>Sameed</t>
  </si>
  <si>
    <t>Varun Reddy</t>
  </si>
  <si>
    <t>Omprakash Mahalingam</t>
  </si>
  <si>
    <t>Vivek Madhavan</t>
  </si>
  <si>
    <t>Srujan Kurumella</t>
  </si>
  <si>
    <t>Mitra Mukut</t>
  </si>
  <si>
    <t>Sujith Maddi</t>
  </si>
  <si>
    <t>Shailesh Patel</t>
  </si>
  <si>
    <t>Dharam Patel</t>
  </si>
  <si>
    <t>Jayanath Krishna</t>
  </si>
  <si>
    <t>Ramesh Appat</t>
  </si>
  <si>
    <t>Syed Nadeem</t>
  </si>
  <si>
    <t>Shirl Tichkule</t>
  </si>
  <si>
    <t>Tahir Rana</t>
  </si>
  <si>
    <t>Suresh Talatoti</t>
  </si>
  <si>
    <t>Cam</t>
  </si>
  <si>
    <t>Bhupinder</t>
  </si>
  <si>
    <t>Tej Ballijepalli</t>
  </si>
  <si>
    <t>Samrat Shama</t>
  </si>
  <si>
    <t>Ashish Thomas</t>
  </si>
  <si>
    <t>Deepak Appu</t>
  </si>
  <si>
    <t>Dan Ruparel</t>
  </si>
  <si>
    <t>Jayanth Krishna</t>
  </si>
  <si>
    <t>Sudheer R</t>
  </si>
  <si>
    <t>Shrikant</t>
  </si>
  <si>
    <t>Vamshi Mugatha</t>
  </si>
  <si>
    <t>Utpal Amin</t>
  </si>
  <si>
    <t>Amit Gandhi</t>
  </si>
  <si>
    <t>Ravi Sajjan</t>
  </si>
  <si>
    <t>Keyur Amin</t>
  </si>
  <si>
    <t>Kirti Dua</t>
  </si>
  <si>
    <t>Rama Bharadwaj</t>
  </si>
  <si>
    <t>Suresh Draksharam</t>
  </si>
  <si>
    <t>Srikanth Chintapally</t>
  </si>
  <si>
    <t>Sudhir Rayapureddy</t>
  </si>
  <si>
    <t>Kervyn Dimney</t>
  </si>
  <si>
    <t>Sunit Gaikwad</t>
  </si>
  <si>
    <t>Abhijeet Kaul</t>
  </si>
  <si>
    <t>Hari Krishna</t>
  </si>
  <si>
    <t>Suresh Kalakrishna</t>
  </si>
  <si>
    <t>Vishwa Mohamed</t>
  </si>
  <si>
    <t>Anirudha Deshpande</t>
  </si>
  <si>
    <t>Venki</t>
  </si>
  <si>
    <t>Naval Bal</t>
  </si>
  <si>
    <t>Srinivas Sundarrajan</t>
  </si>
  <si>
    <t>Matthew Cowan</t>
  </si>
  <si>
    <t>Samuel Butler</t>
  </si>
  <si>
    <t>M Osborne</t>
  </si>
  <si>
    <t>Mike King</t>
  </si>
  <si>
    <t>Karthik Bhaskarabhatta</t>
  </si>
  <si>
    <t>Kumaravel Umapathy</t>
  </si>
  <si>
    <t>Dheeraj Miamadi</t>
  </si>
  <si>
    <t>Venkat Mani</t>
  </si>
  <si>
    <t>Sampath</t>
  </si>
  <si>
    <t>Pratik Patel</t>
  </si>
  <si>
    <t>Narendra Choudhary</t>
  </si>
  <si>
    <t>Murali Krishna</t>
  </si>
  <si>
    <t>Niranjan Mahabaleshwar</t>
  </si>
  <si>
    <t>Abhay Natu</t>
  </si>
  <si>
    <t>Naveen Kumar</t>
  </si>
  <si>
    <t>Arunachalam L</t>
  </si>
  <si>
    <t>David Ashburner</t>
  </si>
  <si>
    <t>Kaushik</t>
  </si>
  <si>
    <t>Nitin Shetty</t>
  </si>
  <si>
    <t>Mohit Chabbra</t>
  </si>
  <si>
    <t>Vaidy Krishnamoorthy</t>
  </si>
  <si>
    <t>Aloknath Rao</t>
  </si>
  <si>
    <t>NA</t>
  </si>
  <si>
    <t>Venugopal Rao</t>
  </si>
  <si>
    <t>Umpire</t>
  </si>
  <si>
    <t>Satyam Singh and Preetam Naik</t>
  </si>
  <si>
    <t>Dhiren Patel and Dharam Patel</t>
  </si>
  <si>
    <t>Steve Pressdee and Shane Cornwall</t>
  </si>
  <si>
    <t>Faiq Majeed and Santanu Ghosh</t>
  </si>
  <si>
    <t>Rinsan Mohamed and Benjamin George</t>
  </si>
  <si>
    <t>Rinsan Mohamed</t>
  </si>
  <si>
    <t>Shane Cornwall</t>
  </si>
  <si>
    <t>Sumeet Khule</t>
  </si>
  <si>
    <t>Bodhayan Charaborty</t>
  </si>
  <si>
    <t>Subhashish Dash</t>
  </si>
  <si>
    <t>Eugene O'Brien</t>
  </si>
  <si>
    <t>Kamal Ponday</t>
  </si>
  <si>
    <t>Antony Chandy</t>
  </si>
  <si>
    <t>Sakthival Sadhanantham</t>
  </si>
  <si>
    <t>Shrishailesh Chari</t>
  </si>
  <si>
    <t>3.4-0-10-7</t>
  </si>
  <si>
    <t>7.2-1-12-7</t>
  </si>
  <si>
    <t>3.2-0-6-6</t>
  </si>
  <si>
    <t>Chaitanya Chava</t>
  </si>
  <si>
    <t>5-0-15-6</t>
  </si>
  <si>
    <t>4-0-7-5</t>
  </si>
  <si>
    <t>Manohar Karthikeyan</t>
  </si>
  <si>
    <t>Murali Nallamothi</t>
  </si>
  <si>
    <t>Prasanna Damodaran</t>
  </si>
  <si>
    <t>Sudarshan Govindrajan</t>
  </si>
  <si>
    <t>ABQCC</t>
  </si>
  <si>
    <t>CSCC Stripes</t>
  </si>
  <si>
    <t>RCC</t>
  </si>
  <si>
    <t>$0 (10 waived)</t>
  </si>
  <si>
    <t>Deepak Rajendran</t>
  </si>
  <si>
    <t>Omer Rafiq</t>
  </si>
  <si>
    <t>Sameer Chavan</t>
  </si>
  <si>
    <t>Narendar Chaudhary</t>
  </si>
  <si>
    <t>Thushara Siriwardanage</t>
  </si>
  <si>
    <t>Ankit Shetty</t>
  </si>
  <si>
    <t>Sagar Chandra</t>
  </si>
  <si>
    <t>FCCC are the 2017 Twenty20 CHAMPIONS !!!</t>
  </si>
  <si>
    <t>Raymond and Kervyn</t>
  </si>
  <si>
    <t>Level 1 &amp; Level 2 Cricket Coach Certification Clinics in Denver Colorado</t>
  </si>
  <si>
    <t>T20 Match Report</t>
  </si>
  <si>
    <t>Hari Bharadwaj</t>
  </si>
  <si>
    <t>Poorvaj Venkatraman</t>
  </si>
  <si>
    <t>Premier Match Report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</si>
</sst>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7.5"/>
      <color theme="10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u/>
      <sz val="12"/>
      <color theme="10"/>
      <name val="Calibri"/>
      <family val="2"/>
    </font>
    <font>
      <sz val="8"/>
      <color rgb="FF000000"/>
      <name val="Verdana"/>
      <family val="2"/>
    </font>
    <font>
      <b/>
      <sz val="7"/>
      <color rgb="FF000000"/>
      <name val="Verdana"/>
      <family val="2"/>
    </font>
    <font>
      <b/>
      <sz val="8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thin">
        <color rgb="FF025A43"/>
      </left>
      <right style="medium">
        <color rgb="FFDCDCDC"/>
      </right>
      <top style="thin">
        <color rgb="FF025A43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 style="thin">
        <color rgb="FF025A43"/>
      </top>
      <bottom style="medium">
        <color rgb="FFDCDCDC"/>
      </bottom>
      <diagonal/>
    </border>
    <border>
      <left style="medium">
        <color rgb="FFDCDCDC"/>
      </left>
      <right style="thin">
        <color rgb="FF025A43"/>
      </right>
      <top style="thin">
        <color rgb="FF025A43"/>
      </top>
      <bottom style="medium">
        <color rgb="FFDCDCDC"/>
      </bottom>
      <diagonal/>
    </border>
    <border>
      <left style="thin">
        <color rgb="FF025A43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thin">
        <color rgb="FF025A43"/>
      </right>
      <top style="medium">
        <color rgb="FFDCDCDC"/>
      </top>
      <bottom style="medium">
        <color rgb="FFDCDCDC"/>
      </bottom>
      <diagonal/>
    </border>
    <border>
      <left style="thin">
        <color rgb="FF025A43"/>
      </left>
      <right style="medium">
        <color rgb="FFDCDCDC"/>
      </right>
      <top style="medium">
        <color rgb="FFDCDCDC"/>
      </top>
      <bottom style="thin">
        <color rgb="FF025A43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thin">
        <color rgb="FF025A43"/>
      </bottom>
      <diagonal/>
    </border>
    <border>
      <left style="medium">
        <color rgb="FFDCDCDC"/>
      </left>
      <right style="thin">
        <color rgb="FF025A43"/>
      </right>
      <top style="medium">
        <color rgb="FFDCDCDC"/>
      </top>
      <bottom style="thin">
        <color rgb="FF025A43"/>
      </bottom>
      <diagonal/>
    </border>
    <border>
      <left style="medium">
        <color rgb="FFDCDCDC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2" fillId="0" borderId="0" xfId="0" applyFont="1" applyFill="1"/>
    <xf numFmtId="0" fontId="1" fillId="0" borderId="0" xfId="0" applyFont="1"/>
    <xf numFmtId="0" fontId="1" fillId="0" borderId="0" xfId="0" applyFont="1" applyBorder="1"/>
    <xf numFmtId="0" fontId="0" fillId="3" borderId="1" xfId="0" applyFill="1" applyBorder="1"/>
    <xf numFmtId="2" fontId="0" fillId="3" borderId="1" xfId="0" applyNumberFormat="1" applyFill="1" applyBorder="1"/>
    <xf numFmtId="0" fontId="1" fillId="0" borderId="0" xfId="0" applyFont="1" applyFill="1"/>
    <xf numFmtId="0" fontId="3" fillId="2" borderId="0" xfId="0" applyFont="1" applyFill="1"/>
    <xf numFmtId="0" fontId="4" fillId="0" borderId="0" xfId="0" applyFont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/>
    <xf numFmtId="2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6" fontId="0" fillId="0" borderId="1" xfId="0" applyNumberFormat="1" applyBorder="1"/>
    <xf numFmtId="16" fontId="0" fillId="0" borderId="0" xfId="0" applyNumberFormat="1"/>
    <xf numFmtId="0" fontId="6" fillId="0" borderId="0" xfId="0" applyFont="1"/>
    <xf numFmtId="2" fontId="6" fillId="0" borderId="1" xfId="0" applyNumberFormat="1" applyFont="1" applyBorder="1"/>
    <xf numFmtId="0" fontId="7" fillId="0" borderId="0" xfId="0" applyFont="1"/>
    <xf numFmtId="0" fontId="0" fillId="0" borderId="0" xfId="0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 applyAlignment="1">
      <alignment horizontal="left" vertical="top" wrapText="1"/>
    </xf>
    <xf numFmtId="0" fontId="9" fillId="0" borderId="0" xfId="1" applyFont="1" applyFill="1" applyBorder="1" applyAlignment="1" applyProtection="1">
      <alignment horizontal="left" vertical="top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1" applyFont="1" applyFill="1" applyBorder="1" applyAlignment="1" applyProtection="1">
      <alignment horizontal="right" vertical="top" wrapText="1"/>
    </xf>
    <xf numFmtId="16" fontId="8" fillId="0" borderId="0" xfId="0" applyNumberFormat="1" applyFont="1" applyFill="1" applyBorder="1" applyAlignment="1">
      <alignment horizontal="right" vertical="top" wrapText="1"/>
    </xf>
    <xf numFmtId="0" fontId="0" fillId="0" borderId="1" xfId="0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10" fillId="5" borderId="4" xfId="0" applyFont="1" applyFill="1" applyBorder="1" applyAlignment="1">
      <alignment horizontal="left" vertical="top" wrapText="1"/>
    </xf>
    <xf numFmtId="0" fontId="11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1" fillId="6" borderId="6" xfId="0" applyFont="1" applyFill="1" applyBorder="1" applyAlignment="1">
      <alignment horizontal="left" vertical="top" wrapText="1"/>
    </xf>
    <xf numFmtId="0" fontId="12" fillId="6" borderId="7" xfId="0" applyFont="1" applyFill="1" applyBorder="1" applyAlignment="1">
      <alignment horizontal="left" vertical="top" wrapText="1"/>
    </xf>
    <xf numFmtId="15" fontId="10" fillId="5" borderId="8" xfId="0" applyNumberFormat="1" applyFont="1" applyFill="1" applyBorder="1" applyAlignment="1">
      <alignment horizontal="left" vertical="top" wrapText="1"/>
    </xf>
    <xf numFmtId="0" fontId="5" fillId="5" borderId="9" xfId="1" applyFill="1" applyBorder="1" applyAlignment="1" applyProtection="1">
      <alignment horizontal="left" vertical="top" wrapText="1"/>
    </xf>
    <xf numFmtId="15" fontId="10" fillId="5" borderId="10" xfId="0" applyNumberFormat="1" applyFont="1" applyFill="1" applyBorder="1" applyAlignment="1">
      <alignment horizontal="left" vertical="top" wrapText="1"/>
    </xf>
    <xf numFmtId="0" fontId="10" fillId="5" borderId="11" xfId="0" applyFont="1" applyFill="1" applyBorder="1" applyAlignment="1">
      <alignment horizontal="left" vertical="top" wrapText="1"/>
    </xf>
    <xf numFmtId="0" fontId="5" fillId="5" borderId="12" xfId="1" applyFill="1" applyBorder="1" applyAlignment="1" applyProtection="1">
      <alignment horizontal="left" vertical="top" wrapText="1"/>
    </xf>
    <xf numFmtId="15" fontId="10" fillId="5" borderId="5" xfId="0" applyNumberFormat="1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horizontal="left" vertical="top" wrapText="1"/>
    </xf>
    <xf numFmtId="0" fontId="5" fillId="5" borderId="7" xfId="1" applyFill="1" applyBorder="1" applyAlignment="1" applyProtection="1">
      <alignment horizontal="left" vertical="top" wrapText="1"/>
    </xf>
    <xf numFmtId="0" fontId="12" fillId="6" borderId="13" xfId="0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horizontal="left" vertical="top" wrapText="1"/>
    </xf>
    <xf numFmtId="15" fontId="10" fillId="5" borderId="0" xfId="0" applyNumberFormat="1" applyFont="1" applyFill="1" applyAlignment="1">
      <alignment horizontal="left" vertical="top" wrapText="1"/>
    </xf>
    <xf numFmtId="0" fontId="0" fillId="0" borderId="10" xfId="0" applyBorder="1"/>
    <xf numFmtId="0" fontId="10" fillId="5" borderId="0" xfId="0" applyFont="1" applyFill="1" applyAlignment="1">
      <alignment horizontal="left" vertical="top" wrapText="1"/>
    </xf>
    <xf numFmtId="0" fontId="0" fillId="0" borderId="11" xfId="0" applyBorder="1"/>
    <xf numFmtId="0" fontId="5" fillId="5" borderId="0" xfId="1" applyFill="1" applyBorder="1" applyAlignment="1" applyProtection="1">
      <alignment horizontal="left" vertical="top" wrapText="1"/>
    </xf>
    <xf numFmtId="0" fontId="0" fillId="0" borderId="12" xfId="0" applyBorder="1"/>
    <xf numFmtId="0" fontId="0" fillId="7" borderId="1" xfId="0" applyFill="1" applyBorder="1"/>
    <xf numFmtId="2" fontId="0" fillId="7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coloradocricket.org/grounds.php?grounds=7&amp;ccl_mode=1" TargetMode="External"/><Relationship Id="rId21" Type="http://schemas.openxmlformats.org/officeDocument/2006/relationships/hyperlink" Target="http://coloradocricket.org/grounds.php?grounds=12&amp;ccl_mode=1" TargetMode="External"/><Relationship Id="rId42" Type="http://schemas.openxmlformats.org/officeDocument/2006/relationships/hyperlink" Target="http://coloradocricket.org/grounds.php?grounds=12&amp;ccl_mode=1" TargetMode="External"/><Relationship Id="rId63" Type="http://schemas.openxmlformats.org/officeDocument/2006/relationships/hyperlink" Target="http://coloradocricket.org/grounds.php?grounds=7&amp;ccl_mode=1" TargetMode="External"/><Relationship Id="rId84" Type="http://schemas.openxmlformats.org/officeDocument/2006/relationships/hyperlink" Target="http://coloradocricket.org/grounds.php?grounds=3&amp;ccl_mode=1" TargetMode="External"/><Relationship Id="rId138" Type="http://schemas.openxmlformats.org/officeDocument/2006/relationships/hyperlink" Target="http://coloradocricket.org/grounds.php?grounds=7&amp;ccl_mode=1" TargetMode="External"/><Relationship Id="rId159" Type="http://schemas.openxmlformats.org/officeDocument/2006/relationships/hyperlink" Target="http://coloradocricket.org/grounds.php?grounds=3&amp;ccl_mode=1" TargetMode="External"/><Relationship Id="rId170" Type="http://schemas.openxmlformats.org/officeDocument/2006/relationships/hyperlink" Target="http://coloradocricket.org/grounds.php?grounds=7&amp;ccl_mode=1" TargetMode="External"/><Relationship Id="rId191" Type="http://schemas.openxmlformats.org/officeDocument/2006/relationships/hyperlink" Target="http://coloradocricket.org/grounds.php?grounds=5&amp;ccl_mode=1" TargetMode="External"/><Relationship Id="rId196" Type="http://schemas.openxmlformats.org/officeDocument/2006/relationships/hyperlink" Target="http://coloradocricket.org/grounds.php?grounds=7&amp;ccl_mode=1" TargetMode="External"/><Relationship Id="rId16" Type="http://schemas.openxmlformats.org/officeDocument/2006/relationships/hyperlink" Target="http://coloradocricket.org/grounds.php?grounds=2&amp;ccl_mode=1" TargetMode="External"/><Relationship Id="rId107" Type="http://schemas.openxmlformats.org/officeDocument/2006/relationships/hyperlink" Target="http://coloradocricket.org/grounds.php?grounds=12&amp;ccl_mode=1" TargetMode="External"/><Relationship Id="rId11" Type="http://schemas.openxmlformats.org/officeDocument/2006/relationships/hyperlink" Target="http://coloradocricket.org/grounds.php?grounds=3&amp;ccl_mode=1" TargetMode="External"/><Relationship Id="rId32" Type="http://schemas.openxmlformats.org/officeDocument/2006/relationships/hyperlink" Target="http://coloradocricket.org/grounds.php?grounds=3&amp;ccl_mode=1" TargetMode="External"/><Relationship Id="rId37" Type="http://schemas.openxmlformats.org/officeDocument/2006/relationships/hyperlink" Target="http://coloradocricket.org/grounds.php?grounds=3&amp;ccl_mode=1" TargetMode="External"/><Relationship Id="rId53" Type="http://schemas.openxmlformats.org/officeDocument/2006/relationships/hyperlink" Target="http://coloradocricket.org/grounds.php?grounds=7&amp;ccl_mode=1" TargetMode="External"/><Relationship Id="rId58" Type="http://schemas.openxmlformats.org/officeDocument/2006/relationships/hyperlink" Target="http://coloradocricket.org/grounds.php?grounds=2&amp;ccl_mode=1" TargetMode="External"/><Relationship Id="rId74" Type="http://schemas.openxmlformats.org/officeDocument/2006/relationships/hyperlink" Target="http://coloradocricket.org/grounds.php?grounds=2&amp;ccl_mode=1" TargetMode="External"/><Relationship Id="rId79" Type="http://schemas.openxmlformats.org/officeDocument/2006/relationships/hyperlink" Target="http://coloradocricket.org/grounds.php?grounds=3&amp;ccl_mode=1" TargetMode="External"/><Relationship Id="rId102" Type="http://schemas.openxmlformats.org/officeDocument/2006/relationships/hyperlink" Target="http://coloradocricket.org/grounds.php?grounds=5&amp;ccl_mode=1" TargetMode="External"/><Relationship Id="rId123" Type="http://schemas.openxmlformats.org/officeDocument/2006/relationships/hyperlink" Target="http://coloradocricket.org/grounds.php?grounds=3&amp;ccl_mode=1" TargetMode="External"/><Relationship Id="rId128" Type="http://schemas.openxmlformats.org/officeDocument/2006/relationships/hyperlink" Target="http://coloradocricket.org/grounds.php?grounds=2&amp;ccl_mode=1" TargetMode="External"/><Relationship Id="rId144" Type="http://schemas.openxmlformats.org/officeDocument/2006/relationships/hyperlink" Target="http://coloradocricket.org/grounds.php?grounds=7&amp;ccl_mode=1" TargetMode="External"/><Relationship Id="rId149" Type="http://schemas.openxmlformats.org/officeDocument/2006/relationships/hyperlink" Target="http://coloradocricket.org/grounds.php?grounds=5&amp;ccl_mode=1" TargetMode="External"/><Relationship Id="rId5" Type="http://schemas.openxmlformats.org/officeDocument/2006/relationships/hyperlink" Target="http://coloradocricket.org/grounds.php?grounds=3&amp;ccl_mode=1" TargetMode="External"/><Relationship Id="rId90" Type="http://schemas.openxmlformats.org/officeDocument/2006/relationships/hyperlink" Target="http://coloradocricket.org/grounds.php?grounds=5&amp;ccl_mode=1" TargetMode="External"/><Relationship Id="rId95" Type="http://schemas.openxmlformats.org/officeDocument/2006/relationships/hyperlink" Target="http://coloradocricket.org/grounds.php?grounds=3&amp;ccl_mode=1" TargetMode="External"/><Relationship Id="rId160" Type="http://schemas.openxmlformats.org/officeDocument/2006/relationships/hyperlink" Target="http://coloradocricket.org/grounds.php?grounds=7&amp;ccl_mode=1" TargetMode="External"/><Relationship Id="rId165" Type="http://schemas.openxmlformats.org/officeDocument/2006/relationships/hyperlink" Target="http://coloradocricket.org/grounds.php?grounds=7&amp;ccl_mode=1" TargetMode="External"/><Relationship Id="rId181" Type="http://schemas.openxmlformats.org/officeDocument/2006/relationships/hyperlink" Target="http://coloradocricket.org/grounds.php?grounds=3&amp;ccl_mode=1" TargetMode="External"/><Relationship Id="rId186" Type="http://schemas.openxmlformats.org/officeDocument/2006/relationships/hyperlink" Target="http://coloradocricket.org/grounds.php?grounds=5&amp;ccl_mode=1" TargetMode="External"/><Relationship Id="rId22" Type="http://schemas.openxmlformats.org/officeDocument/2006/relationships/hyperlink" Target="http://coloradocricket.org/grounds.php?grounds=3&amp;ccl_mode=1" TargetMode="External"/><Relationship Id="rId27" Type="http://schemas.openxmlformats.org/officeDocument/2006/relationships/hyperlink" Target="http://coloradocricket.org/grounds.php?grounds=7&amp;ccl_mode=1" TargetMode="External"/><Relationship Id="rId43" Type="http://schemas.openxmlformats.org/officeDocument/2006/relationships/hyperlink" Target="http://coloradocricket.org/grounds.php?grounds=7&amp;ccl_mode=1" TargetMode="External"/><Relationship Id="rId48" Type="http://schemas.openxmlformats.org/officeDocument/2006/relationships/hyperlink" Target="http://coloradocricket.org/grounds.php?grounds=3&amp;ccl_mode=1" TargetMode="External"/><Relationship Id="rId64" Type="http://schemas.openxmlformats.org/officeDocument/2006/relationships/hyperlink" Target="http://coloradocricket.org/grounds.php?grounds=3&amp;ccl_mode=1" TargetMode="External"/><Relationship Id="rId69" Type="http://schemas.openxmlformats.org/officeDocument/2006/relationships/hyperlink" Target="http://coloradocricket.org/grounds.php?grounds=3&amp;ccl_mode=1" TargetMode="External"/><Relationship Id="rId113" Type="http://schemas.openxmlformats.org/officeDocument/2006/relationships/hyperlink" Target="http://coloradocricket.org/grounds.php?grounds=7&amp;ccl_mode=1" TargetMode="External"/><Relationship Id="rId118" Type="http://schemas.openxmlformats.org/officeDocument/2006/relationships/hyperlink" Target="http://coloradocricket.org/grounds.php?grounds=3&amp;ccl_mode=1" TargetMode="External"/><Relationship Id="rId134" Type="http://schemas.openxmlformats.org/officeDocument/2006/relationships/hyperlink" Target="http://coloradocricket.org/grounds.php?grounds=12&amp;ccl_mode=1" TargetMode="External"/><Relationship Id="rId139" Type="http://schemas.openxmlformats.org/officeDocument/2006/relationships/hyperlink" Target="http://coloradocricket.org/grounds.php?grounds=3&amp;ccl_mode=1" TargetMode="External"/><Relationship Id="rId80" Type="http://schemas.openxmlformats.org/officeDocument/2006/relationships/hyperlink" Target="http://coloradocricket.org/grounds.php?grounds=7&amp;ccl_mode=1" TargetMode="External"/><Relationship Id="rId85" Type="http://schemas.openxmlformats.org/officeDocument/2006/relationships/hyperlink" Target="http://coloradocricket.org/grounds.php?grounds=2&amp;ccl_mode=1" TargetMode="External"/><Relationship Id="rId150" Type="http://schemas.openxmlformats.org/officeDocument/2006/relationships/hyperlink" Target="http://coloradocricket.org/grounds.php?grounds=7&amp;ccl_mode=1" TargetMode="External"/><Relationship Id="rId155" Type="http://schemas.openxmlformats.org/officeDocument/2006/relationships/hyperlink" Target="http://coloradocricket.org/grounds.php?grounds=2&amp;ccl_mode=1" TargetMode="External"/><Relationship Id="rId171" Type="http://schemas.openxmlformats.org/officeDocument/2006/relationships/hyperlink" Target="http://coloradocricket.org/grounds.php?grounds=3&amp;ccl_mode=1" TargetMode="External"/><Relationship Id="rId176" Type="http://schemas.openxmlformats.org/officeDocument/2006/relationships/hyperlink" Target="http://coloradocricket.org/grounds.php?grounds=2&amp;ccl_mode=1" TargetMode="External"/><Relationship Id="rId192" Type="http://schemas.openxmlformats.org/officeDocument/2006/relationships/hyperlink" Target="http://coloradocricket.org/grounds.php?grounds=7&amp;ccl_mode=1" TargetMode="External"/><Relationship Id="rId197" Type="http://schemas.openxmlformats.org/officeDocument/2006/relationships/hyperlink" Target="http://coloradocricket.org/grounds.php?grounds=3&amp;ccl_mode=1" TargetMode="External"/><Relationship Id="rId12" Type="http://schemas.openxmlformats.org/officeDocument/2006/relationships/hyperlink" Target="http://coloradocricket.org/grounds.php?grounds=7&amp;ccl_mode=1" TargetMode="External"/><Relationship Id="rId17" Type="http://schemas.openxmlformats.org/officeDocument/2006/relationships/hyperlink" Target="http://coloradocricket.org/grounds.php?grounds=3&amp;ccl_mode=1" TargetMode="External"/><Relationship Id="rId33" Type="http://schemas.openxmlformats.org/officeDocument/2006/relationships/hyperlink" Target="http://coloradocricket.org/grounds.php?grounds=5&amp;ccl_mode=1" TargetMode="External"/><Relationship Id="rId38" Type="http://schemas.openxmlformats.org/officeDocument/2006/relationships/hyperlink" Target="http://coloradocricket.org/grounds.php?grounds=5&amp;ccl_mode=1" TargetMode="External"/><Relationship Id="rId59" Type="http://schemas.openxmlformats.org/officeDocument/2006/relationships/hyperlink" Target="http://coloradocricket.org/grounds.php?grounds=2&amp;ccl_mode=1" TargetMode="External"/><Relationship Id="rId103" Type="http://schemas.openxmlformats.org/officeDocument/2006/relationships/hyperlink" Target="http://coloradocricket.org/grounds.php?grounds=5&amp;ccl_mode=1" TargetMode="External"/><Relationship Id="rId108" Type="http://schemas.openxmlformats.org/officeDocument/2006/relationships/hyperlink" Target="http://coloradocricket.org/grounds.php?grounds=5&amp;ccl_mode=1" TargetMode="External"/><Relationship Id="rId124" Type="http://schemas.openxmlformats.org/officeDocument/2006/relationships/hyperlink" Target="http://coloradocricket.org/grounds.php?grounds=2&amp;ccl_mode=1" TargetMode="External"/><Relationship Id="rId129" Type="http://schemas.openxmlformats.org/officeDocument/2006/relationships/hyperlink" Target="http://coloradocricket.org/grounds.php?grounds=5&amp;ccl_mode=1" TargetMode="External"/><Relationship Id="rId54" Type="http://schemas.openxmlformats.org/officeDocument/2006/relationships/hyperlink" Target="http://coloradocricket.org/grounds.php?grounds=3&amp;ccl_mode=1" TargetMode="External"/><Relationship Id="rId70" Type="http://schemas.openxmlformats.org/officeDocument/2006/relationships/hyperlink" Target="http://coloradocricket.org/grounds.php?grounds=7&amp;ccl_mode=1" TargetMode="External"/><Relationship Id="rId75" Type="http://schemas.openxmlformats.org/officeDocument/2006/relationships/hyperlink" Target="http://coloradocricket.org/grounds.php?grounds=3&amp;ccl_mode=1" TargetMode="External"/><Relationship Id="rId91" Type="http://schemas.openxmlformats.org/officeDocument/2006/relationships/hyperlink" Target="http://coloradocricket.org/grounds.php?grounds=2&amp;ccl_mode=1" TargetMode="External"/><Relationship Id="rId96" Type="http://schemas.openxmlformats.org/officeDocument/2006/relationships/hyperlink" Target="http://coloradocricket.org/grounds.php?grounds=7&amp;ccl_mode=1" TargetMode="External"/><Relationship Id="rId140" Type="http://schemas.openxmlformats.org/officeDocument/2006/relationships/hyperlink" Target="http://coloradocricket.org/grounds.php?grounds=12&amp;ccl_mode=1" TargetMode="External"/><Relationship Id="rId145" Type="http://schemas.openxmlformats.org/officeDocument/2006/relationships/hyperlink" Target="http://coloradocricket.org/grounds.php?grounds=7&amp;ccl_mode=1" TargetMode="External"/><Relationship Id="rId161" Type="http://schemas.openxmlformats.org/officeDocument/2006/relationships/hyperlink" Target="http://coloradocricket.org/grounds.php?grounds=7&amp;ccl_mode=1" TargetMode="External"/><Relationship Id="rId166" Type="http://schemas.openxmlformats.org/officeDocument/2006/relationships/hyperlink" Target="http://coloradocricket.org/grounds.php?grounds=3&amp;ccl_mode=1" TargetMode="External"/><Relationship Id="rId182" Type="http://schemas.openxmlformats.org/officeDocument/2006/relationships/hyperlink" Target="http://coloradocricket.org/grounds.php?grounds=2&amp;ccl_mode=1" TargetMode="External"/><Relationship Id="rId187" Type="http://schemas.openxmlformats.org/officeDocument/2006/relationships/hyperlink" Target="http://coloradocricket.org/grounds.php?grounds=7&amp;ccl_mode=1" TargetMode="External"/><Relationship Id="rId1" Type="http://schemas.openxmlformats.org/officeDocument/2006/relationships/hyperlink" Target="http://coloradocricket.org/grounds.php?grounds=7&amp;ccl_mode=1" TargetMode="External"/><Relationship Id="rId6" Type="http://schemas.openxmlformats.org/officeDocument/2006/relationships/hyperlink" Target="http://coloradocricket.org/grounds.php?grounds=2&amp;ccl_mode=1" TargetMode="External"/><Relationship Id="rId23" Type="http://schemas.openxmlformats.org/officeDocument/2006/relationships/hyperlink" Target="http://coloradocricket.org/grounds.php?grounds=2&amp;ccl_mode=1" TargetMode="External"/><Relationship Id="rId28" Type="http://schemas.openxmlformats.org/officeDocument/2006/relationships/hyperlink" Target="http://coloradocricket.org/grounds.php?grounds=3&amp;ccl_mode=1" TargetMode="External"/><Relationship Id="rId49" Type="http://schemas.openxmlformats.org/officeDocument/2006/relationships/hyperlink" Target="http://coloradocricket.org/grounds.php?grounds=3&amp;ccl_mode=1" TargetMode="External"/><Relationship Id="rId114" Type="http://schemas.openxmlformats.org/officeDocument/2006/relationships/hyperlink" Target="http://coloradocricket.org/grounds.php?grounds=3&amp;ccl_mode=1" TargetMode="External"/><Relationship Id="rId119" Type="http://schemas.openxmlformats.org/officeDocument/2006/relationships/hyperlink" Target="http://coloradocricket.org/grounds.php?grounds=3&amp;ccl_mode=1" TargetMode="External"/><Relationship Id="rId44" Type="http://schemas.openxmlformats.org/officeDocument/2006/relationships/hyperlink" Target="http://coloradocricket.org/grounds.php?grounds=7&amp;ccl_mode=1" TargetMode="External"/><Relationship Id="rId60" Type="http://schemas.openxmlformats.org/officeDocument/2006/relationships/hyperlink" Target="http://coloradocricket.org/grounds.php?grounds=3&amp;ccl_mode=1" TargetMode="External"/><Relationship Id="rId65" Type="http://schemas.openxmlformats.org/officeDocument/2006/relationships/hyperlink" Target="http://coloradocricket.org/grounds.php?grounds=3&amp;ccl_mode=1" TargetMode="External"/><Relationship Id="rId81" Type="http://schemas.openxmlformats.org/officeDocument/2006/relationships/hyperlink" Target="http://coloradocricket.org/grounds.php?grounds=7&amp;ccl_mode=1" TargetMode="External"/><Relationship Id="rId86" Type="http://schemas.openxmlformats.org/officeDocument/2006/relationships/hyperlink" Target="http://coloradocricket.org/grounds.php?grounds=3&amp;ccl_mode=1" TargetMode="External"/><Relationship Id="rId130" Type="http://schemas.openxmlformats.org/officeDocument/2006/relationships/hyperlink" Target="http://coloradocricket.org/grounds.php?grounds=7&amp;ccl_mode=1" TargetMode="External"/><Relationship Id="rId135" Type="http://schemas.openxmlformats.org/officeDocument/2006/relationships/hyperlink" Target="http://coloradocricket.org/grounds.php?grounds=5&amp;ccl_mode=1" TargetMode="External"/><Relationship Id="rId151" Type="http://schemas.openxmlformats.org/officeDocument/2006/relationships/hyperlink" Target="http://coloradocricket.org/grounds.php?grounds=3&amp;ccl_mode=1" TargetMode="External"/><Relationship Id="rId156" Type="http://schemas.openxmlformats.org/officeDocument/2006/relationships/hyperlink" Target="http://coloradocricket.org/grounds.php?grounds=2&amp;ccl_mode=1" TargetMode="External"/><Relationship Id="rId177" Type="http://schemas.openxmlformats.org/officeDocument/2006/relationships/hyperlink" Target="http://coloradocricket.org/grounds.php?grounds=2&amp;ccl_mode=1" TargetMode="External"/><Relationship Id="rId198" Type="http://schemas.openxmlformats.org/officeDocument/2006/relationships/hyperlink" Target="http://coloradocricket.org/grounds.php?grounds=7&amp;ccl_mode=1" TargetMode="External"/><Relationship Id="rId172" Type="http://schemas.openxmlformats.org/officeDocument/2006/relationships/hyperlink" Target="http://coloradocricket.org/grounds.php?grounds=3&amp;ccl_mode=1" TargetMode="External"/><Relationship Id="rId193" Type="http://schemas.openxmlformats.org/officeDocument/2006/relationships/hyperlink" Target="http://coloradocricket.org/grounds.php?grounds=3&amp;ccl_mode=1" TargetMode="External"/><Relationship Id="rId13" Type="http://schemas.openxmlformats.org/officeDocument/2006/relationships/hyperlink" Target="http://coloradocricket.org/grounds.php?grounds=3&amp;ccl_mode=1" TargetMode="External"/><Relationship Id="rId18" Type="http://schemas.openxmlformats.org/officeDocument/2006/relationships/hyperlink" Target="http://coloradocricket.org/grounds.php?grounds=7&amp;ccl_mode=1" TargetMode="External"/><Relationship Id="rId39" Type="http://schemas.openxmlformats.org/officeDocument/2006/relationships/hyperlink" Target="http://coloradocricket.org/grounds.php?grounds=7&amp;ccl_mode=1" TargetMode="External"/><Relationship Id="rId109" Type="http://schemas.openxmlformats.org/officeDocument/2006/relationships/hyperlink" Target="http://coloradocricket.org/grounds.php?grounds=3&amp;ccl_mode=1" TargetMode="External"/><Relationship Id="rId34" Type="http://schemas.openxmlformats.org/officeDocument/2006/relationships/hyperlink" Target="http://coloradocricket.org/grounds.php?grounds=12&amp;ccl_mode=1" TargetMode="External"/><Relationship Id="rId50" Type="http://schemas.openxmlformats.org/officeDocument/2006/relationships/hyperlink" Target="http://coloradocricket.org/grounds.php?grounds=5&amp;ccl_mode=1" TargetMode="External"/><Relationship Id="rId55" Type="http://schemas.openxmlformats.org/officeDocument/2006/relationships/hyperlink" Target="http://coloradocricket.org/grounds.php?grounds=7&amp;ccl_mode=1" TargetMode="External"/><Relationship Id="rId76" Type="http://schemas.openxmlformats.org/officeDocument/2006/relationships/hyperlink" Target="http://coloradocricket.org/grounds.php?grounds=2&amp;ccl_mode=1" TargetMode="External"/><Relationship Id="rId97" Type="http://schemas.openxmlformats.org/officeDocument/2006/relationships/hyperlink" Target="http://coloradocricket.org/grounds.php?grounds=7&amp;ccl_mode=1" TargetMode="External"/><Relationship Id="rId104" Type="http://schemas.openxmlformats.org/officeDocument/2006/relationships/hyperlink" Target="http://coloradocricket.org/grounds.php?grounds=3&amp;ccl_mode=1" TargetMode="External"/><Relationship Id="rId120" Type="http://schemas.openxmlformats.org/officeDocument/2006/relationships/hyperlink" Target="http://coloradocricket.org/grounds.php?grounds=12&amp;ccl_mode=1" TargetMode="External"/><Relationship Id="rId125" Type="http://schemas.openxmlformats.org/officeDocument/2006/relationships/hyperlink" Target="http://coloradocricket.org/grounds.php?grounds=3&amp;ccl_mode=1" TargetMode="External"/><Relationship Id="rId141" Type="http://schemas.openxmlformats.org/officeDocument/2006/relationships/hyperlink" Target="http://coloradocricket.org/grounds.php?grounds=12&amp;ccl_mode=1" TargetMode="External"/><Relationship Id="rId146" Type="http://schemas.openxmlformats.org/officeDocument/2006/relationships/hyperlink" Target="http://coloradocricket.org/grounds.php?grounds=7&amp;ccl_mode=1" TargetMode="External"/><Relationship Id="rId167" Type="http://schemas.openxmlformats.org/officeDocument/2006/relationships/hyperlink" Target="http://coloradocricket.org/grounds.php?grounds=3&amp;ccl_mode=1" TargetMode="External"/><Relationship Id="rId188" Type="http://schemas.openxmlformats.org/officeDocument/2006/relationships/hyperlink" Target="http://coloradocricket.org/grounds.php?grounds=7&amp;ccl_mode=1" TargetMode="External"/><Relationship Id="rId7" Type="http://schemas.openxmlformats.org/officeDocument/2006/relationships/hyperlink" Target="http://coloradocricket.org/grounds.php?grounds=7&amp;ccl_mode=1" TargetMode="External"/><Relationship Id="rId71" Type="http://schemas.openxmlformats.org/officeDocument/2006/relationships/hyperlink" Target="http://coloradocricket.org/grounds.php?grounds=7&amp;ccl_mode=1" TargetMode="External"/><Relationship Id="rId92" Type="http://schemas.openxmlformats.org/officeDocument/2006/relationships/hyperlink" Target="http://coloradocricket.org/grounds.php?grounds=5&amp;ccl_mode=1" TargetMode="External"/><Relationship Id="rId162" Type="http://schemas.openxmlformats.org/officeDocument/2006/relationships/hyperlink" Target="http://coloradocricket.org/grounds.php?grounds=7&amp;ccl_mode=1" TargetMode="External"/><Relationship Id="rId183" Type="http://schemas.openxmlformats.org/officeDocument/2006/relationships/hyperlink" Target="http://coloradocricket.org/grounds.php?grounds=3&amp;ccl_mode=1" TargetMode="External"/><Relationship Id="rId2" Type="http://schemas.openxmlformats.org/officeDocument/2006/relationships/hyperlink" Target="http://coloradocricket.org/grounds.php?grounds=3&amp;ccl_mode=1" TargetMode="External"/><Relationship Id="rId29" Type="http://schemas.openxmlformats.org/officeDocument/2006/relationships/hyperlink" Target="http://coloradocricket.org/grounds.php?grounds=2&amp;ccl_mode=1" TargetMode="External"/><Relationship Id="rId24" Type="http://schemas.openxmlformats.org/officeDocument/2006/relationships/hyperlink" Target="http://coloradocricket.org/grounds.php?grounds=3&amp;ccl_mode=1" TargetMode="External"/><Relationship Id="rId40" Type="http://schemas.openxmlformats.org/officeDocument/2006/relationships/hyperlink" Target="http://coloradocricket.org/grounds.php?grounds=3&amp;ccl_mode=1" TargetMode="External"/><Relationship Id="rId45" Type="http://schemas.openxmlformats.org/officeDocument/2006/relationships/hyperlink" Target="http://coloradocricket.org/grounds.php?grounds=7&amp;ccl_mode=1" TargetMode="External"/><Relationship Id="rId66" Type="http://schemas.openxmlformats.org/officeDocument/2006/relationships/hyperlink" Target="http://coloradocricket.org/grounds.php?grounds=7&amp;ccl_mode=1" TargetMode="External"/><Relationship Id="rId87" Type="http://schemas.openxmlformats.org/officeDocument/2006/relationships/hyperlink" Target="http://coloradocricket.org/grounds.php?grounds=5&amp;ccl_mode=1" TargetMode="External"/><Relationship Id="rId110" Type="http://schemas.openxmlformats.org/officeDocument/2006/relationships/hyperlink" Target="http://coloradocricket.org/grounds.php?grounds=3&amp;ccl_mode=1" TargetMode="External"/><Relationship Id="rId115" Type="http://schemas.openxmlformats.org/officeDocument/2006/relationships/hyperlink" Target="http://coloradocricket.org/grounds.php?grounds=2&amp;ccl_mode=1" TargetMode="External"/><Relationship Id="rId131" Type="http://schemas.openxmlformats.org/officeDocument/2006/relationships/hyperlink" Target="http://coloradocricket.org/grounds.php?grounds=3&amp;ccl_mode=1" TargetMode="External"/><Relationship Id="rId136" Type="http://schemas.openxmlformats.org/officeDocument/2006/relationships/hyperlink" Target="http://coloradocricket.org/grounds.php?grounds=3&amp;ccl_mode=1" TargetMode="External"/><Relationship Id="rId157" Type="http://schemas.openxmlformats.org/officeDocument/2006/relationships/hyperlink" Target="http://coloradocricket.org/grounds.php?grounds=2&amp;ccl_mode=1" TargetMode="External"/><Relationship Id="rId178" Type="http://schemas.openxmlformats.org/officeDocument/2006/relationships/hyperlink" Target="http://coloradocricket.org/grounds.php?grounds=3&amp;ccl_mode=1" TargetMode="External"/><Relationship Id="rId61" Type="http://schemas.openxmlformats.org/officeDocument/2006/relationships/hyperlink" Target="http://coloradocricket.org/grounds.php?grounds=7&amp;ccl_mode=1" TargetMode="External"/><Relationship Id="rId82" Type="http://schemas.openxmlformats.org/officeDocument/2006/relationships/hyperlink" Target="http://coloradocricket.org/grounds.php?grounds=3&amp;ccl_mode=1" TargetMode="External"/><Relationship Id="rId152" Type="http://schemas.openxmlformats.org/officeDocument/2006/relationships/hyperlink" Target="http://coloradocricket.org/grounds.php?grounds=7&amp;ccl_mode=1" TargetMode="External"/><Relationship Id="rId173" Type="http://schemas.openxmlformats.org/officeDocument/2006/relationships/hyperlink" Target="http://coloradocricket.org/grounds.php?grounds=2&amp;ccl_mode=1" TargetMode="External"/><Relationship Id="rId194" Type="http://schemas.openxmlformats.org/officeDocument/2006/relationships/hyperlink" Target="http://coloradocricket.org/grounds.php?grounds=3&amp;ccl_mode=1" TargetMode="External"/><Relationship Id="rId199" Type="http://schemas.openxmlformats.org/officeDocument/2006/relationships/printerSettings" Target="../printerSettings/printerSettings2.bin"/><Relationship Id="rId19" Type="http://schemas.openxmlformats.org/officeDocument/2006/relationships/hyperlink" Target="http://coloradocricket.org/grounds.php?grounds=3&amp;ccl_mode=1" TargetMode="External"/><Relationship Id="rId14" Type="http://schemas.openxmlformats.org/officeDocument/2006/relationships/hyperlink" Target="http://coloradocricket.org/grounds.php?grounds=7&amp;ccl_mode=1" TargetMode="External"/><Relationship Id="rId30" Type="http://schemas.openxmlformats.org/officeDocument/2006/relationships/hyperlink" Target="http://coloradocricket.org/grounds.php?grounds=5&amp;ccl_mode=1" TargetMode="External"/><Relationship Id="rId35" Type="http://schemas.openxmlformats.org/officeDocument/2006/relationships/hyperlink" Target="http://coloradocricket.org/grounds.php?grounds=12&amp;ccl_mode=1" TargetMode="External"/><Relationship Id="rId56" Type="http://schemas.openxmlformats.org/officeDocument/2006/relationships/hyperlink" Target="http://coloradocricket.org/grounds.php?grounds=2&amp;ccl_mode=1" TargetMode="External"/><Relationship Id="rId77" Type="http://schemas.openxmlformats.org/officeDocument/2006/relationships/hyperlink" Target="http://coloradocricket.org/grounds.php?grounds=2&amp;ccl_mode=1" TargetMode="External"/><Relationship Id="rId100" Type="http://schemas.openxmlformats.org/officeDocument/2006/relationships/hyperlink" Target="http://coloradocricket.org/grounds.php?grounds=7&amp;ccl_mode=1" TargetMode="External"/><Relationship Id="rId105" Type="http://schemas.openxmlformats.org/officeDocument/2006/relationships/hyperlink" Target="http://coloradocricket.org/grounds.php?grounds=2&amp;ccl_mode=1" TargetMode="External"/><Relationship Id="rId126" Type="http://schemas.openxmlformats.org/officeDocument/2006/relationships/hyperlink" Target="http://coloradocricket.org/grounds.php?grounds=7&amp;ccl_mode=1" TargetMode="External"/><Relationship Id="rId147" Type="http://schemas.openxmlformats.org/officeDocument/2006/relationships/hyperlink" Target="http://coloradocricket.org/grounds.php?grounds=3&amp;ccl_mode=1" TargetMode="External"/><Relationship Id="rId168" Type="http://schemas.openxmlformats.org/officeDocument/2006/relationships/hyperlink" Target="http://coloradocricket.org/grounds.php?grounds=3&amp;ccl_mode=1" TargetMode="External"/><Relationship Id="rId8" Type="http://schemas.openxmlformats.org/officeDocument/2006/relationships/hyperlink" Target="http://coloradocricket.org/grounds.php?grounds=12&amp;ccl_mode=1" TargetMode="External"/><Relationship Id="rId51" Type="http://schemas.openxmlformats.org/officeDocument/2006/relationships/hyperlink" Target="http://coloradocricket.org/grounds.php?grounds=7&amp;ccl_mode=1" TargetMode="External"/><Relationship Id="rId72" Type="http://schemas.openxmlformats.org/officeDocument/2006/relationships/hyperlink" Target="http://coloradocricket.org/grounds.php?grounds=3&amp;ccl_mode=1" TargetMode="External"/><Relationship Id="rId93" Type="http://schemas.openxmlformats.org/officeDocument/2006/relationships/hyperlink" Target="http://coloradocricket.org/grounds.php?grounds=7&amp;ccl_mode=1" TargetMode="External"/><Relationship Id="rId98" Type="http://schemas.openxmlformats.org/officeDocument/2006/relationships/hyperlink" Target="http://coloradocricket.org/grounds.php?grounds=3&amp;ccl_mode=1" TargetMode="External"/><Relationship Id="rId121" Type="http://schemas.openxmlformats.org/officeDocument/2006/relationships/hyperlink" Target="http://coloradocricket.org/grounds.php?grounds=3&amp;ccl_mode=1" TargetMode="External"/><Relationship Id="rId142" Type="http://schemas.openxmlformats.org/officeDocument/2006/relationships/hyperlink" Target="http://coloradocricket.org/grounds.php?grounds=7&amp;ccl_mode=1" TargetMode="External"/><Relationship Id="rId163" Type="http://schemas.openxmlformats.org/officeDocument/2006/relationships/hyperlink" Target="http://coloradocricket.org/grounds.php?grounds=3&amp;ccl_mode=1" TargetMode="External"/><Relationship Id="rId184" Type="http://schemas.openxmlformats.org/officeDocument/2006/relationships/hyperlink" Target="http://coloradocricket.org/grounds.php?grounds=2&amp;ccl_mode=1" TargetMode="External"/><Relationship Id="rId189" Type="http://schemas.openxmlformats.org/officeDocument/2006/relationships/hyperlink" Target="http://coloradocricket.org/grounds.php?grounds=5&amp;ccl_mode=1" TargetMode="External"/><Relationship Id="rId3" Type="http://schemas.openxmlformats.org/officeDocument/2006/relationships/hyperlink" Target="http://coloradocricket.org/grounds.php?grounds=5&amp;ccl_mode=1" TargetMode="External"/><Relationship Id="rId25" Type="http://schemas.openxmlformats.org/officeDocument/2006/relationships/hyperlink" Target="http://coloradocricket.org/grounds.php?grounds=2&amp;ccl_mode=1" TargetMode="External"/><Relationship Id="rId46" Type="http://schemas.openxmlformats.org/officeDocument/2006/relationships/hyperlink" Target="http://coloradocricket.org/grounds.php?grounds=7&amp;ccl_mode=1" TargetMode="External"/><Relationship Id="rId67" Type="http://schemas.openxmlformats.org/officeDocument/2006/relationships/hyperlink" Target="http://coloradocricket.org/grounds.php?grounds=3&amp;ccl_mode=1" TargetMode="External"/><Relationship Id="rId116" Type="http://schemas.openxmlformats.org/officeDocument/2006/relationships/hyperlink" Target="http://coloradocricket.org/grounds.php?grounds=3&amp;ccl_mode=1" TargetMode="External"/><Relationship Id="rId137" Type="http://schemas.openxmlformats.org/officeDocument/2006/relationships/hyperlink" Target="http://coloradocricket.org/grounds.php?grounds=5&amp;ccl_mode=1" TargetMode="External"/><Relationship Id="rId158" Type="http://schemas.openxmlformats.org/officeDocument/2006/relationships/hyperlink" Target="http://coloradocricket.org/grounds.php?grounds=2&amp;ccl_mode=1" TargetMode="External"/><Relationship Id="rId20" Type="http://schemas.openxmlformats.org/officeDocument/2006/relationships/hyperlink" Target="http://coloradocricket.org/grounds.php?grounds=3&amp;ccl_mode=1" TargetMode="External"/><Relationship Id="rId41" Type="http://schemas.openxmlformats.org/officeDocument/2006/relationships/hyperlink" Target="http://coloradocricket.org/grounds.php?grounds=12&amp;ccl_mode=1" TargetMode="External"/><Relationship Id="rId62" Type="http://schemas.openxmlformats.org/officeDocument/2006/relationships/hyperlink" Target="http://coloradocricket.org/grounds.php?grounds=7&amp;ccl_mode=1" TargetMode="External"/><Relationship Id="rId83" Type="http://schemas.openxmlformats.org/officeDocument/2006/relationships/hyperlink" Target="http://coloradocricket.org/grounds.php?grounds=2&amp;ccl_mode=1" TargetMode="External"/><Relationship Id="rId88" Type="http://schemas.openxmlformats.org/officeDocument/2006/relationships/hyperlink" Target="http://coloradocricket.org/grounds.php?grounds=7&amp;ccl_mode=1" TargetMode="External"/><Relationship Id="rId111" Type="http://schemas.openxmlformats.org/officeDocument/2006/relationships/hyperlink" Target="http://coloradocricket.org/grounds.php?grounds=7&amp;ccl_mode=1" TargetMode="External"/><Relationship Id="rId132" Type="http://schemas.openxmlformats.org/officeDocument/2006/relationships/hyperlink" Target="http://coloradocricket.org/grounds.php?grounds=5&amp;ccl_mode=1" TargetMode="External"/><Relationship Id="rId153" Type="http://schemas.openxmlformats.org/officeDocument/2006/relationships/hyperlink" Target="http://coloradocricket.org/grounds.php?grounds=3&amp;ccl_mode=1" TargetMode="External"/><Relationship Id="rId174" Type="http://schemas.openxmlformats.org/officeDocument/2006/relationships/hyperlink" Target="http://coloradocricket.org/grounds.php?grounds=3&amp;ccl_mode=1" TargetMode="External"/><Relationship Id="rId179" Type="http://schemas.openxmlformats.org/officeDocument/2006/relationships/hyperlink" Target="http://coloradocricket.org/grounds.php?grounds=7&amp;ccl_mode=1" TargetMode="External"/><Relationship Id="rId195" Type="http://schemas.openxmlformats.org/officeDocument/2006/relationships/hyperlink" Target="http://coloradocricket.org/grounds.php?grounds=7&amp;ccl_mode=1" TargetMode="External"/><Relationship Id="rId190" Type="http://schemas.openxmlformats.org/officeDocument/2006/relationships/hyperlink" Target="http://coloradocricket.org/grounds.php?grounds=2&amp;ccl_mode=1" TargetMode="External"/><Relationship Id="rId15" Type="http://schemas.openxmlformats.org/officeDocument/2006/relationships/hyperlink" Target="http://coloradocricket.org/grounds.php?grounds=3&amp;ccl_mode=1" TargetMode="External"/><Relationship Id="rId36" Type="http://schemas.openxmlformats.org/officeDocument/2006/relationships/hyperlink" Target="http://coloradocricket.org/grounds.php?grounds=5&amp;ccl_mode=1" TargetMode="External"/><Relationship Id="rId57" Type="http://schemas.openxmlformats.org/officeDocument/2006/relationships/hyperlink" Target="http://coloradocricket.org/grounds.php?grounds=2&amp;ccl_mode=1" TargetMode="External"/><Relationship Id="rId106" Type="http://schemas.openxmlformats.org/officeDocument/2006/relationships/hyperlink" Target="http://coloradocricket.org/grounds.php?grounds=7&amp;ccl_mode=1" TargetMode="External"/><Relationship Id="rId127" Type="http://schemas.openxmlformats.org/officeDocument/2006/relationships/hyperlink" Target="http://coloradocricket.org/grounds.php?grounds=3&amp;ccl_mode=1" TargetMode="External"/><Relationship Id="rId10" Type="http://schemas.openxmlformats.org/officeDocument/2006/relationships/hyperlink" Target="http://coloradocricket.org/grounds.php?grounds=3&amp;ccl_mode=1" TargetMode="External"/><Relationship Id="rId31" Type="http://schemas.openxmlformats.org/officeDocument/2006/relationships/hyperlink" Target="http://coloradocricket.org/grounds.php?grounds=7&amp;ccl_mode=1" TargetMode="External"/><Relationship Id="rId52" Type="http://schemas.openxmlformats.org/officeDocument/2006/relationships/hyperlink" Target="http://coloradocricket.org/grounds.php?grounds=3&amp;ccl_mode=1" TargetMode="External"/><Relationship Id="rId73" Type="http://schemas.openxmlformats.org/officeDocument/2006/relationships/hyperlink" Target="http://coloradocricket.org/grounds.php?grounds=3&amp;ccl_mode=1" TargetMode="External"/><Relationship Id="rId78" Type="http://schemas.openxmlformats.org/officeDocument/2006/relationships/hyperlink" Target="http://coloradocricket.org/grounds.php?grounds=2&amp;ccl_mode=1" TargetMode="External"/><Relationship Id="rId94" Type="http://schemas.openxmlformats.org/officeDocument/2006/relationships/hyperlink" Target="http://coloradocricket.org/grounds.php?grounds=3&amp;ccl_mode=1" TargetMode="External"/><Relationship Id="rId99" Type="http://schemas.openxmlformats.org/officeDocument/2006/relationships/hyperlink" Target="http://coloradocricket.org/grounds.php?grounds=7&amp;ccl_mode=1" TargetMode="External"/><Relationship Id="rId101" Type="http://schemas.openxmlformats.org/officeDocument/2006/relationships/hyperlink" Target="http://coloradocricket.org/grounds.php?grounds=3&amp;ccl_mode=1" TargetMode="External"/><Relationship Id="rId122" Type="http://schemas.openxmlformats.org/officeDocument/2006/relationships/hyperlink" Target="http://coloradocricket.org/grounds.php?grounds=2&amp;ccl_mode=1" TargetMode="External"/><Relationship Id="rId143" Type="http://schemas.openxmlformats.org/officeDocument/2006/relationships/hyperlink" Target="http://coloradocricket.org/grounds.php?grounds=7&amp;ccl_mode=1" TargetMode="External"/><Relationship Id="rId148" Type="http://schemas.openxmlformats.org/officeDocument/2006/relationships/hyperlink" Target="http://coloradocricket.org/grounds.php?grounds=3&amp;ccl_mode=1" TargetMode="External"/><Relationship Id="rId164" Type="http://schemas.openxmlformats.org/officeDocument/2006/relationships/hyperlink" Target="http://coloradocricket.org/grounds.php?grounds=3&amp;ccl_mode=1" TargetMode="External"/><Relationship Id="rId169" Type="http://schemas.openxmlformats.org/officeDocument/2006/relationships/hyperlink" Target="http://coloradocricket.org/grounds.php?grounds=7&amp;ccl_mode=1" TargetMode="External"/><Relationship Id="rId185" Type="http://schemas.openxmlformats.org/officeDocument/2006/relationships/hyperlink" Target="http://coloradocricket.org/grounds.php?grounds=3&amp;ccl_mode=1" TargetMode="External"/><Relationship Id="rId4" Type="http://schemas.openxmlformats.org/officeDocument/2006/relationships/hyperlink" Target="http://coloradocricket.org/grounds.php?grounds=5&amp;ccl_mode=1" TargetMode="External"/><Relationship Id="rId9" Type="http://schemas.openxmlformats.org/officeDocument/2006/relationships/hyperlink" Target="http://coloradocricket.org/grounds.php?grounds=5&amp;ccl_mode=1" TargetMode="External"/><Relationship Id="rId180" Type="http://schemas.openxmlformats.org/officeDocument/2006/relationships/hyperlink" Target="http://coloradocricket.org/grounds.php?grounds=7&amp;ccl_mode=1" TargetMode="External"/><Relationship Id="rId26" Type="http://schemas.openxmlformats.org/officeDocument/2006/relationships/hyperlink" Target="http://coloradocricket.org/grounds.php?grounds=3&amp;ccl_mode=1" TargetMode="External"/><Relationship Id="rId47" Type="http://schemas.openxmlformats.org/officeDocument/2006/relationships/hyperlink" Target="http://coloradocricket.org/grounds.php?grounds=7&amp;ccl_mode=1" TargetMode="External"/><Relationship Id="rId68" Type="http://schemas.openxmlformats.org/officeDocument/2006/relationships/hyperlink" Target="http://coloradocricket.org/grounds.php?grounds=3&amp;ccl_mode=1" TargetMode="External"/><Relationship Id="rId89" Type="http://schemas.openxmlformats.org/officeDocument/2006/relationships/hyperlink" Target="http://coloradocricket.org/grounds.php?grounds=7&amp;ccl_mode=1" TargetMode="External"/><Relationship Id="rId112" Type="http://schemas.openxmlformats.org/officeDocument/2006/relationships/hyperlink" Target="http://coloradocricket.org/grounds.php?grounds=3&amp;ccl_mode=1" TargetMode="External"/><Relationship Id="rId133" Type="http://schemas.openxmlformats.org/officeDocument/2006/relationships/hyperlink" Target="http://coloradocricket.org/grounds.php?grounds=12&amp;ccl_mode=1" TargetMode="External"/><Relationship Id="rId154" Type="http://schemas.openxmlformats.org/officeDocument/2006/relationships/hyperlink" Target="http://coloradocricket.org/grounds.php?grounds=7&amp;ccl_mode=1" TargetMode="External"/><Relationship Id="rId175" Type="http://schemas.openxmlformats.org/officeDocument/2006/relationships/hyperlink" Target="http://coloradocricket.org/grounds.php?grounds=2&amp;ccl_mode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38"/>
  <sheetViews>
    <sheetView showGridLines="0" tabSelected="1" topLeftCell="A64" zoomScaleNormal="100" zoomScaleSheetLayoutView="87" workbookViewId="0">
      <selection activeCell="M137" sqref="M137"/>
    </sheetView>
  </sheetViews>
  <sheetFormatPr defaultColWidth="19" defaultRowHeight="15" customHeight="1"/>
  <cols>
    <col min="1" max="1" width="19.28515625" style="13" bestFit="1" customWidth="1"/>
    <col min="2" max="2" width="34.28515625" bestFit="1" customWidth="1"/>
    <col min="3" max="8" width="9.42578125" customWidth="1"/>
    <col min="9" max="9" width="11.42578125" customWidth="1"/>
    <col min="10" max="24" width="9.42578125" customWidth="1"/>
    <col min="25" max="25" width="9.42578125" style="21" customWidth="1"/>
    <col min="26" max="27" width="9.42578125" customWidth="1"/>
    <col min="28" max="28" width="9.140625" customWidth="1"/>
    <col min="29" max="29" width="5.7109375" customWidth="1"/>
    <col min="31" max="31" width="6.140625" customWidth="1"/>
    <col min="32" max="32" width="4.5703125" customWidth="1"/>
    <col min="33" max="33" width="3.42578125" customWidth="1"/>
    <col min="34" max="34" width="11.7109375" customWidth="1"/>
  </cols>
  <sheetData>
    <row r="1" spans="1:36" ht="15" customHeight="1">
      <c r="A1" s="12" t="s">
        <v>0</v>
      </c>
      <c r="W1" s="24"/>
      <c r="X1" s="24"/>
      <c r="Y1" s="25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>
      <c r="B2" s="7" t="s">
        <v>1</v>
      </c>
      <c r="W2" s="26"/>
      <c r="X2" s="27"/>
      <c r="Y2" s="28"/>
      <c r="Z2" s="29"/>
      <c r="AA2" s="30"/>
      <c r="AB2" s="29"/>
      <c r="AC2" s="29"/>
      <c r="AD2" s="29"/>
      <c r="AE2" s="30"/>
      <c r="AF2" s="30"/>
      <c r="AG2" s="30"/>
      <c r="AH2" s="30"/>
      <c r="AI2" s="31"/>
      <c r="AJ2" s="26"/>
    </row>
    <row r="3" spans="1:36" ht="15" customHeight="1">
      <c r="B3" s="9" t="s">
        <v>39</v>
      </c>
      <c r="C3" s="9" t="s">
        <v>14</v>
      </c>
      <c r="D3" s="9" t="s">
        <v>15</v>
      </c>
      <c r="E3" s="9" t="s">
        <v>16</v>
      </c>
      <c r="F3" s="10" t="s">
        <v>17</v>
      </c>
      <c r="G3" s="10" t="s">
        <v>18</v>
      </c>
      <c r="H3" s="10" t="s">
        <v>19</v>
      </c>
      <c r="I3" s="10" t="s">
        <v>55</v>
      </c>
      <c r="J3" s="10" t="s">
        <v>50</v>
      </c>
      <c r="K3" s="10" t="s">
        <v>56</v>
      </c>
      <c r="L3" s="10" t="s">
        <v>57</v>
      </c>
      <c r="W3" s="26"/>
      <c r="X3" s="27"/>
      <c r="Y3" s="28"/>
      <c r="Z3" s="29"/>
      <c r="AA3" s="30"/>
      <c r="AB3" s="29"/>
      <c r="AC3" s="29"/>
      <c r="AD3" s="29"/>
      <c r="AE3" s="30"/>
      <c r="AF3" s="30"/>
      <c r="AG3" s="30"/>
      <c r="AH3" s="30"/>
      <c r="AI3" s="31"/>
      <c r="AJ3" s="26"/>
    </row>
    <row r="4" spans="1:36" ht="15" customHeight="1">
      <c r="B4" s="16" t="s">
        <v>72</v>
      </c>
      <c r="C4" s="16">
        <v>491</v>
      </c>
      <c r="D4" s="17">
        <f>C4/(11-5)</f>
        <v>81.833333333333329</v>
      </c>
      <c r="E4" s="17">
        <f>C4* 100 / 290</f>
        <v>169.31034482758622</v>
      </c>
      <c r="F4" s="17">
        <f t="shared" ref="F4:H8" si="0">C4*100/C$10</f>
        <v>21.478565179352582</v>
      </c>
      <c r="G4" s="17">
        <f t="shared" si="0"/>
        <v>28.083694713963332</v>
      </c>
      <c r="H4" s="17">
        <f t="shared" si="0"/>
        <v>19.434143946944562</v>
      </c>
      <c r="I4" s="17">
        <f>F4/2</f>
        <v>10.739282589676291</v>
      </c>
      <c r="J4" s="17">
        <f>G4*0.3</f>
        <v>8.4251084141889994</v>
      </c>
      <c r="K4" s="17">
        <f>H4*0.2</f>
        <v>3.8868287893889129</v>
      </c>
      <c r="L4" s="17">
        <f>SUM(I4:K4)</f>
        <v>23.051219793254205</v>
      </c>
      <c r="W4" s="26"/>
      <c r="X4" s="27"/>
      <c r="Y4" s="28"/>
      <c r="Z4" s="29"/>
      <c r="AA4" s="30"/>
      <c r="AB4" s="29"/>
      <c r="AC4" s="29"/>
      <c r="AD4" s="29"/>
      <c r="AE4" s="30"/>
      <c r="AF4" s="30"/>
      <c r="AG4" s="30"/>
      <c r="AH4" s="30"/>
      <c r="AI4" s="31"/>
      <c r="AJ4" s="26"/>
    </row>
    <row r="5" spans="1:36" ht="15" customHeight="1">
      <c r="B5" s="33" t="s">
        <v>286</v>
      </c>
      <c r="C5" s="33">
        <v>573</v>
      </c>
      <c r="D5" s="3">
        <f>C5/(13-2)</f>
        <v>52.090909090909093</v>
      </c>
      <c r="E5" s="3">
        <f>C5* 100 / 346</f>
        <v>165.60693641618496</v>
      </c>
      <c r="F5" s="34">
        <f t="shared" si="0"/>
        <v>25.065616797900262</v>
      </c>
      <c r="G5" s="34">
        <f t="shared" si="0"/>
        <v>17.876641811998876</v>
      </c>
      <c r="H5" s="34">
        <f t="shared" si="0"/>
        <v>19.009051361876654</v>
      </c>
      <c r="I5" s="34">
        <f>F5/2</f>
        <v>12.532808398950131</v>
      </c>
      <c r="J5" s="34">
        <f>G5*0.3</f>
        <v>5.3629925435996624</v>
      </c>
      <c r="K5" s="34">
        <f>H5*0.2</f>
        <v>3.8018102723753309</v>
      </c>
      <c r="L5" s="34">
        <f>SUM(I5:K5)</f>
        <v>21.697611214925125</v>
      </c>
      <c r="W5" s="26"/>
      <c r="X5" s="27"/>
      <c r="Y5" s="28"/>
      <c r="Z5" s="29"/>
      <c r="AA5" s="30"/>
      <c r="AB5" s="29"/>
      <c r="AC5" s="29"/>
      <c r="AD5" s="29"/>
      <c r="AE5" s="30"/>
      <c r="AF5" s="30"/>
      <c r="AG5" s="30"/>
      <c r="AH5" s="30"/>
      <c r="AI5" s="31"/>
      <c r="AJ5" s="26"/>
    </row>
    <row r="6" spans="1:36" ht="15" customHeight="1">
      <c r="B6" s="33" t="s">
        <v>85</v>
      </c>
      <c r="C6" s="33">
        <v>424</v>
      </c>
      <c r="D6" s="3">
        <f>C6/(11-3)</f>
        <v>53</v>
      </c>
      <c r="E6" s="3">
        <f>C6* 100 / 223</f>
        <v>190.13452914798205</v>
      </c>
      <c r="F6" s="34">
        <f t="shared" si="0"/>
        <v>18.547681539807524</v>
      </c>
      <c r="G6" s="34">
        <f t="shared" si="0"/>
        <v>18.188625089695194</v>
      </c>
      <c r="H6" s="34">
        <f t="shared" si="0"/>
        <v>21.824430234958427</v>
      </c>
      <c r="I6" s="34">
        <f>F6/2</f>
        <v>9.2738407699037619</v>
      </c>
      <c r="J6" s="34">
        <f>G6*0.3</f>
        <v>5.4565875269085575</v>
      </c>
      <c r="K6" s="34">
        <f>H6*0.2</f>
        <v>4.3648860469916855</v>
      </c>
      <c r="L6" s="34">
        <f>SUM(I6:K6)</f>
        <v>19.095314343804006</v>
      </c>
      <c r="W6" s="26"/>
      <c r="X6" s="27"/>
      <c r="Y6" s="28"/>
      <c r="Z6" s="29"/>
      <c r="AA6" s="30"/>
      <c r="AB6" s="29"/>
      <c r="AC6" s="29"/>
      <c r="AD6" s="29"/>
      <c r="AE6" s="30"/>
      <c r="AF6" s="30"/>
      <c r="AG6" s="30"/>
      <c r="AH6" s="30"/>
      <c r="AI6" s="31"/>
      <c r="AJ6" s="26"/>
    </row>
    <row r="7" spans="1:36" ht="15" customHeight="1">
      <c r="B7" s="33" t="s">
        <v>67</v>
      </c>
      <c r="C7" s="33">
        <v>370</v>
      </c>
      <c r="D7" s="3">
        <f>C7/(9-3)</f>
        <v>61.666666666666664</v>
      </c>
      <c r="E7" s="3">
        <f>C7* 100 /206</f>
        <v>179.61165048543688</v>
      </c>
      <c r="F7" s="34">
        <f t="shared" si="0"/>
        <v>16.185476815398076</v>
      </c>
      <c r="G7" s="34">
        <f t="shared" si="0"/>
        <v>21.162865670400066</v>
      </c>
      <c r="H7" s="34">
        <f t="shared" si="0"/>
        <v>20.616570556494086</v>
      </c>
      <c r="I7" s="34">
        <f>F7/2</f>
        <v>8.0927384076990379</v>
      </c>
      <c r="J7" s="34">
        <f>G7*0.3</f>
        <v>6.3488597011200198</v>
      </c>
      <c r="K7" s="34">
        <f>H7*0.2</f>
        <v>4.123314111298817</v>
      </c>
      <c r="L7" s="34">
        <f>SUM(I7:K7)</f>
        <v>18.564912220117876</v>
      </c>
      <c r="W7" s="26"/>
      <c r="X7" s="27"/>
      <c r="Y7" s="28"/>
      <c r="Z7" s="29"/>
      <c r="AA7" s="30"/>
      <c r="AB7" s="29"/>
      <c r="AC7" s="29"/>
      <c r="AD7" s="29"/>
      <c r="AE7" s="30"/>
      <c r="AF7" s="30"/>
      <c r="AG7" s="30"/>
      <c r="AH7" s="30"/>
      <c r="AI7" s="31"/>
      <c r="AJ7" s="26"/>
    </row>
    <row r="8" spans="1:36" ht="15" customHeight="1">
      <c r="B8" s="33" t="s">
        <v>73</v>
      </c>
      <c r="C8" s="33">
        <v>428</v>
      </c>
      <c r="D8" s="3">
        <f>C8/(12-2)</f>
        <v>42.8</v>
      </c>
      <c r="E8" s="3">
        <f>C8* 100 /257</f>
        <v>166.53696498054475</v>
      </c>
      <c r="F8" s="34">
        <f t="shared" si="0"/>
        <v>18.722659667541556</v>
      </c>
      <c r="G8" s="34">
        <f t="shared" si="0"/>
        <v>14.688172713942533</v>
      </c>
      <c r="H8" s="34">
        <f t="shared" si="0"/>
        <v>19.11580389972627</v>
      </c>
      <c r="I8" s="34">
        <f>F8/2</f>
        <v>9.3613298337707782</v>
      </c>
      <c r="J8" s="34">
        <f>G8*0.3</f>
        <v>4.40645181418276</v>
      </c>
      <c r="K8" s="34">
        <f>H8*0.2</f>
        <v>3.8231607799452543</v>
      </c>
      <c r="L8" s="34">
        <f>SUM(I8:K8)</f>
        <v>17.590942427898792</v>
      </c>
      <c r="W8" s="26"/>
      <c r="X8" s="27"/>
      <c r="Y8" s="28"/>
      <c r="Z8" s="29"/>
      <c r="AA8" s="30"/>
      <c r="AB8" s="29"/>
      <c r="AC8" s="29"/>
      <c r="AD8" s="29"/>
      <c r="AE8" s="30"/>
      <c r="AF8" s="30"/>
      <c r="AG8" s="30"/>
      <c r="AH8" s="30"/>
      <c r="AI8" s="31"/>
      <c r="AJ8" s="26"/>
    </row>
    <row r="9" spans="1:36" ht="15" customHeight="1">
      <c r="B9" s="2"/>
      <c r="C9" s="2"/>
      <c r="D9" s="3"/>
      <c r="E9" s="3"/>
      <c r="F9" s="3"/>
      <c r="G9" s="3"/>
      <c r="H9" s="3"/>
      <c r="I9" s="3"/>
      <c r="J9" s="3"/>
      <c r="K9" s="3"/>
      <c r="L9" s="3"/>
      <c r="W9" s="26"/>
      <c r="X9" s="27"/>
      <c r="Y9" s="28"/>
      <c r="Z9" s="29"/>
      <c r="AA9" s="30"/>
      <c r="AB9" s="29"/>
      <c r="AC9" s="29"/>
      <c r="AD9" s="29"/>
      <c r="AE9" s="30"/>
      <c r="AF9" s="30"/>
      <c r="AG9" s="30"/>
      <c r="AH9" s="30"/>
      <c r="AI9" s="31"/>
      <c r="AJ9" s="26"/>
    </row>
    <row r="10" spans="1:36" ht="15" customHeight="1">
      <c r="B10" s="2" t="s">
        <v>20</v>
      </c>
      <c r="C10" s="2">
        <f t="shared" ref="C10:L10" si="1">SUM(C4:C9)</f>
        <v>2286</v>
      </c>
      <c r="D10" s="3">
        <f t="shared" si="1"/>
        <v>291.39090909090908</v>
      </c>
      <c r="E10" s="3">
        <f t="shared" si="1"/>
        <v>871.2004258577349</v>
      </c>
      <c r="F10" s="2">
        <f t="shared" si="1"/>
        <v>100</v>
      </c>
      <c r="G10" s="2">
        <f t="shared" si="1"/>
        <v>100</v>
      </c>
      <c r="H10" s="3">
        <f t="shared" si="1"/>
        <v>100</v>
      </c>
      <c r="I10" s="3">
        <f t="shared" si="1"/>
        <v>50</v>
      </c>
      <c r="J10" s="3">
        <f t="shared" si="1"/>
        <v>29.999999999999996</v>
      </c>
      <c r="K10" s="3">
        <f t="shared" si="1"/>
        <v>20</v>
      </c>
      <c r="L10" s="3">
        <f t="shared" si="1"/>
        <v>100</v>
      </c>
      <c r="W10" s="26"/>
      <c r="X10" s="27"/>
      <c r="Y10" s="28"/>
      <c r="Z10" s="29"/>
      <c r="AA10" s="30"/>
      <c r="AB10" s="29"/>
      <c r="AC10" s="29"/>
      <c r="AD10" s="29"/>
      <c r="AE10" s="30"/>
      <c r="AF10" s="30"/>
      <c r="AG10" s="30"/>
      <c r="AH10" s="30"/>
      <c r="AI10" s="31"/>
      <c r="AJ10" s="26"/>
    </row>
    <row r="11" spans="1:36" ht="15" customHeight="1">
      <c r="B11" s="4"/>
      <c r="C11" s="4"/>
      <c r="D11" s="5"/>
      <c r="E11" s="5"/>
      <c r="F11" s="4"/>
      <c r="G11" s="4"/>
      <c r="H11" s="5"/>
      <c r="I11" s="5"/>
      <c r="J11" s="5"/>
      <c r="K11" s="5"/>
      <c r="L11" s="5"/>
      <c r="W11" s="26"/>
      <c r="X11" s="27"/>
      <c r="Y11" s="28"/>
      <c r="Z11" s="29"/>
      <c r="AA11" s="30"/>
      <c r="AB11" s="29"/>
      <c r="AC11" s="29"/>
      <c r="AD11" s="29"/>
      <c r="AE11" s="30"/>
      <c r="AF11" s="30"/>
      <c r="AG11" s="30"/>
      <c r="AH11" s="30"/>
      <c r="AI11" s="31"/>
      <c r="AJ11" s="26"/>
    </row>
    <row r="12" spans="1:36" ht="15" customHeight="1">
      <c r="B12" s="7" t="s"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W12" s="26"/>
      <c r="X12" s="27"/>
      <c r="Y12" s="28"/>
      <c r="Z12" s="29"/>
      <c r="AA12" s="30"/>
      <c r="AB12" s="29"/>
      <c r="AC12" s="29"/>
      <c r="AD12" s="29"/>
      <c r="AE12" s="30"/>
      <c r="AF12" s="30"/>
      <c r="AG12" s="30"/>
      <c r="AH12" s="30"/>
      <c r="AI12" s="31"/>
      <c r="AJ12" s="26"/>
    </row>
    <row r="13" spans="1:36" ht="15" customHeight="1">
      <c r="B13" s="9" t="s">
        <v>39</v>
      </c>
      <c r="C13" s="9" t="s">
        <v>21</v>
      </c>
      <c r="D13" s="9" t="s">
        <v>22</v>
      </c>
      <c r="E13" s="9" t="s">
        <v>23</v>
      </c>
      <c r="F13" s="10" t="s">
        <v>24</v>
      </c>
      <c r="G13" s="10" t="s">
        <v>25</v>
      </c>
      <c r="H13" s="10" t="s">
        <v>18</v>
      </c>
      <c r="I13" s="10" t="s">
        <v>58</v>
      </c>
      <c r="J13" s="10" t="s">
        <v>53</v>
      </c>
      <c r="K13" s="10" t="s">
        <v>50</v>
      </c>
      <c r="L13" s="10" t="s">
        <v>57</v>
      </c>
      <c r="W13" s="26"/>
      <c r="X13" s="27"/>
      <c r="Y13" s="28"/>
      <c r="Z13" s="29"/>
      <c r="AA13" s="30"/>
      <c r="AB13" s="29"/>
      <c r="AC13" s="29"/>
      <c r="AD13" s="29"/>
      <c r="AE13" s="30"/>
      <c r="AF13" s="30"/>
      <c r="AG13" s="30"/>
      <c r="AH13" s="30"/>
      <c r="AI13" s="31"/>
      <c r="AJ13" s="26"/>
    </row>
    <row r="14" spans="1:36" ht="15" customHeight="1">
      <c r="B14" s="16" t="s">
        <v>73</v>
      </c>
      <c r="C14" s="16">
        <v>22</v>
      </c>
      <c r="D14" s="17">
        <f>208/44.83</f>
        <v>4.6397501672986845</v>
      </c>
      <c r="E14" s="17">
        <f>208/22</f>
        <v>9.454545454545455</v>
      </c>
      <c r="F14" s="17">
        <f>C14*100/C$20</f>
        <v>22.222222222222221</v>
      </c>
      <c r="G14" s="17">
        <f t="shared" ref="G14:H18" si="2" xml:space="preserve"> ((D$20-D14)/D$20)/0.04</f>
        <v>20.85184601231742</v>
      </c>
      <c r="H14" s="17">
        <f t="shared" si="2"/>
        <v>20.767266863746304</v>
      </c>
      <c r="I14" s="17">
        <f>F14/2</f>
        <v>11.111111111111111</v>
      </c>
      <c r="J14" s="17">
        <f>G14*0.3</f>
        <v>6.2555538036952258</v>
      </c>
      <c r="K14" s="17">
        <f>H14*0.2</f>
        <v>4.1534533727492606</v>
      </c>
      <c r="L14" s="17">
        <f>SUM(I14:K14)</f>
        <v>21.520118287555597</v>
      </c>
      <c r="W14" s="26"/>
      <c r="X14" s="27"/>
      <c r="Y14" s="28"/>
      <c r="Z14" s="29"/>
      <c r="AA14" s="30"/>
      <c r="AB14" s="29"/>
      <c r="AC14" s="29"/>
      <c r="AD14" s="29"/>
      <c r="AE14" s="30"/>
      <c r="AF14" s="30"/>
      <c r="AG14" s="30"/>
      <c r="AH14" s="30"/>
      <c r="AI14" s="31"/>
      <c r="AJ14" s="26"/>
    </row>
    <row r="15" spans="1:36" ht="15" customHeight="1">
      <c r="B15" s="2" t="s">
        <v>69</v>
      </c>
      <c r="C15" s="2">
        <v>21</v>
      </c>
      <c r="D15" s="3">
        <f>269/45</f>
        <v>5.9777777777777779</v>
      </c>
      <c r="E15" s="3">
        <f>269/21</f>
        <v>12.80952380952381</v>
      </c>
      <c r="F15" s="3">
        <f>C15*100/C$20</f>
        <v>21.212121212121211</v>
      </c>
      <c r="G15" s="3">
        <f t="shared" si="2"/>
        <v>19.655586651811866</v>
      </c>
      <c r="H15" s="3">
        <f t="shared" si="2"/>
        <v>19.265266781055544</v>
      </c>
      <c r="I15" s="3">
        <f>F15/2</f>
        <v>10.606060606060606</v>
      </c>
      <c r="J15" s="3">
        <f>G15*0.3</f>
        <v>5.8966759955435597</v>
      </c>
      <c r="K15" s="3">
        <f>H15*0.2</f>
        <v>3.8530533562111091</v>
      </c>
      <c r="L15" s="3">
        <f>SUM(I15:K15)</f>
        <v>20.355789957815276</v>
      </c>
      <c r="W15" s="26"/>
      <c r="X15" s="27"/>
      <c r="Y15" s="28"/>
      <c r="Z15" s="29"/>
      <c r="AA15" s="29"/>
      <c r="AB15" s="29"/>
      <c r="AC15" s="29"/>
      <c r="AD15" s="29"/>
      <c r="AE15" s="32"/>
      <c r="AF15" s="30"/>
      <c r="AG15" s="30"/>
      <c r="AH15" s="29"/>
      <c r="AI15" s="31"/>
      <c r="AJ15" s="26"/>
    </row>
    <row r="16" spans="1:36" ht="15" customHeight="1">
      <c r="B16" s="2" t="s">
        <v>244</v>
      </c>
      <c r="C16" s="2">
        <v>20</v>
      </c>
      <c r="D16" s="3">
        <f>216/34</f>
        <v>6.3529411764705879</v>
      </c>
      <c r="E16" s="3">
        <f>216/20</f>
        <v>10.8</v>
      </c>
      <c r="F16" s="3">
        <f>C16*100/C$20</f>
        <v>20.202020202020201</v>
      </c>
      <c r="G16" s="3">
        <f t="shared" si="2"/>
        <v>19.320172999738833</v>
      </c>
      <c r="H16" s="3">
        <f t="shared" si="2"/>
        <v>20.164916378971739</v>
      </c>
      <c r="I16" s="3">
        <f>F16/2</f>
        <v>10.1010101010101</v>
      </c>
      <c r="J16" s="3">
        <f>G16*0.3</f>
        <v>5.7960518999216495</v>
      </c>
      <c r="K16" s="3">
        <f>H16*0.2</f>
        <v>4.032983275794348</v>
      </c>
      <c r="L16" s="3">
        <f>SUM(I16:K16)</f>
        <v>19.930045276726098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</row>
    <row r="17" spans="2:36" ht="15" customHeight="1">
      <c r="B17" s="2" t="s">
        <v>303</v>
      </c>
      <c r="C17" s="2">
        <v>18</v>
      </c>
      <c r="D17" s="3">
        <f>195/37.83</f>
        <v>5.1546391752577323</v>
      </c>
      <c r="E17" s="3">
        <f>195/18</f>
        <v>10.833333333333334</v>
      </c>
      <c r="F17" s="3">
        <f>C17*100/C$20</f>
        <v>18.181818181818183</v>
      </c>
      <c r="G17" s="3">
        <f t="shared" si="2"/>
        <v>20.391511120444832</v>
      </c>
      <c r="H17" s="3">
        <f t="shared" si="2"/>
        <v>20.14999328137597</v>
      </c>
      <c r="I17" s="3">
        <f>F17/2</f>
        <v>9.0909090909090917</v>
      </c>
      <c r="J17" s="3">
        <f>G17*0.3</f>
        <v>6.1174533361334493</v>
      </c>
      <c r="K17" s="3">
        <f>H17*0.2</f>
        <v>4.0299986562751942</v>
      </c>
      <c r="L17" s="3">
        <f>SUM(I17:K17)</f>
        <v>19.238361083317734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</row>
    <row r="18" spans="2:36" ht="15" customHeight="1">
      <c r="B18" s="2" t="s">
        <v>288</v>
      </c>
      <c r="C18" s="2">
        <v>18</v>
      </c>
      <c r="D18" s="3">
        <f>215/36.83</f>
        <v>5.8376323649199025</v>
      </c>
      <c r="E18" s="3">
        <f>215/18</f>
        <v>11.944444444444445</v>
      </c>
      <c r="F18" s="3">
        <f>C18*100/C$20</f>
        <v>18.181818181818183</v>
      </c>
      <c r="G18" s="3">
        <f t="shared" si="2"/>
        <v>19.780883215687048</v>
      </c>
      <c r="H18" s="3">
        <f t="shared" si="2"/>
        <v>19.652556694850436</v>
      </c>
      <c r="I18" s="3">
        <f>F18/2</f>
        <v>9.0909090909090917</v>
      </c>
      <c r="J18" s="3">
        <f>G18*0.3</f>
        <v>5.9342649647061139</v>
      </c>
      <c r="K18" s="3">
        <f>H18*0.2</f>
        <v>3.9305113389700872</v>
      </c>
      <c r="L18" s="3">
        <f>SUM(I18:K18)</f>
        <v>18.955685394585295</v>
      </c>
      <c r="W18" s="26"/>
      <c r="X18" s="27"/>
      <c r="Y18" s="28"/>
      <c r="Z18" s="29"/>
      <c r="AA18" s="29"/>
      <c r="AB18" s="29"/>
      <c r="AC18" s="29"/>
      <c r="AD18" s="29"/>
      <c r="AE18" s="32"/>
      <c r="AF18" s="30"/>
      <c r="AG18" s="30"/>
      <c r="AH18" s="29"/>
      <c r="AI18" s="31"/>
      <c r="AJ18" s="26"/>
    </row>
    <row r="19" spans="2:36" ht="15" customHeight="1"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W19" s="26"/>
      <c r="X19" s="27"/>
      <c r="Y19" s="28"/>
      <c r="Z19" s="29"/>
      <c r="AA19" s="29"/>
      <c r="AB19" s="29"/>
      <c r="AC19" s="29"/>
      <c r="AD19" s="29"/>
      <c r="AE19" s="32"/>
      <c r="AF19" s="30"/>
      <c r="AG19" s="30"/>
      <c r="AH19" s="29"/>
      <c r="AI19" s="31"/>
      <c r="AJ19" s="26"/>
    </row>
    <row r="20" spans="2:36" ht="15" customHeight="1">
      <c r="B20" s="2" t="s">
        <v>20</v>
      </c>
      <c r="C20" s="2">
        <f t="shared" ref="C20:L20" si="3">SUM(C14:C19)</f>
        <v>99</v>
      </c>
      <c r="D20" s="3">
        <f t="shared" si="3"/>
        <v>27.962740661724684</v>
      </c>
      <c r="E20" s="3">
        <f t="shared" si="3"/>
        <v>55.841847041847039</v>
      </c>
      <c r="F20" s="3">
        <f t="shared" si="3"/>
        <v>100</v>
      </c>
      <c r="G20" s="3">
        <f t="shared" si="3"/>
        <v>100</v>
      </c>
      <c r="H20" s="3">
        <f t="shared" si="3"/>
        <v>99.999999999999986</v>
      </c>
      <c r="I20" s="3">
        <f t="shared" si="3"/>
        <v>50</v>
      </c>
      <c r="J20" s="3">
        <f t="shared" si="3"/>
        <v>29.999999999999996</v>
      </c>
      <c r="K20" s="3">
        <f t="shared" si="3"/>
        <v>20</v>
      </c>
      <c r="L20" s="3">
        <f t="shared" si="3"/>
        <v>100</v>
      </c>
      <c r="W20" s="26"/>
      <c r="X20" s="27"/>
      <c r="Y20" s="28"/>
      <c r="Z20" s="29"/>
      <c r="AA20" s="29"/>
      <c r="AB20" s="29"/>
      <c r="AC20" s="29"/>
      <c r="AD20" s="29"/>
      <c r="AE20" s="32"/>
      <c r="AF20" s="30"/>
      <c r="AG20" s="30"/>
      <c r="AH20" s="29"/>
      <c r="AI20" s="31"/>
      <c r="AJ20" s="26"/>
    </row>
    <row r="21" spans="2:36" ht="15" customHeight="1">
      <c r="B21" s="4"/>
      <c r="C21" s="4"/>
      <c r="D21" s="5"/>
      <c r="E21" s="5"/>
      <c r="F21" s="5"/>
      <c r="G21" s="5"/>
      <c r="H21" s="5"/>
      <c r="I21" s="5"/>
      <c r="J21" s="5"/>
      <c r="K21" s="5"/>
      <c r="L21" s="5"/>
      <c r="W21" s="26"/>
      <c r="X21" s="27"/>
      <c r="Y21" s="28"/>
      <c r="Z21" s="29"/>
      <c r="AA21" s="29"/>
      <c r="AB21" s="29"/>
      <c r="AC21" s="29"/>
      <c r="AD21" s="29"/>
      <c r="AE21" s="32"/>
      <c r="AF21" s="30"/>
      <c r="AG21" s="30"/>
      <c r="AH21" s="29"/>
      <c r="AI21" s="31"/>
      <c r="AJ21" s="26"/>
    </row>
    <row r="22" spans="2:36" ht="15" customHeight="1">
      <c r="B22" s="7" t="s">
        <v>3</v>
      </c>
      <c r="W22" s="26"/>
      <c r="X22" s="27"/>
      <c r="Y22" s="28"/>
      <c r="Z22" s="29"/>
      <c r="AA22" s="29"/>
      <c r="AB22" s="29"/>
      <c r="AC22" s="29"/>
      <c r="AD22" s="29"/>
      <c r="AE22" s="32"/>
      <c r="AF22" s="30"/>
      <c r="AG22" s="30"/>
      <c r="AH22" s="29"/>
      <c r="AI22" s="31"/>
      <c r="AJ22" s="26"/>
    </row>
    <row r="23" spans="2:36" ht="15" customHeight="1">
      <c r="B23" s="9" t="s">
        <v>39</v>
      </c>
      <c r="C23" s="9" t="s">
        <v>14</v>
      </c>
      <c r="D23" s="9" t="s">
        <v>23</v>
      </c>
      <c r="E23" s="9" t="s">
        <v>26</v>
      </c>
      <c r="F23" s="9" t="s">
        <v>27</v>
      </c>
      <c r="G23" s="10" t="s">
        <v>22</v>
      </c>
      <c r="H23" s="10" t="s">
        <v>54</v>
      </c>
      <c r="I23" s="9" t="s">
        <v>17</v>
      </c>
      <c r="J23" s="9" t="s">
        <v>18</v>
      </c>
      <c r="K23" s="9" t="s">
        <v>48</v>
      </c>
      <c r="L23" s="9" t="s">
        <v>49</v>
      </c>
      <c r="M23" s="9" t="s">
        <v>25</v>
      </c>
      <c r="N23" s="10" t="s">
        <v>18</v>
      </c>
      <c r="O23" s="9" t="s">
        <v>55</v>
      </c>
      <c r="P23" s="9" t="s">
        <v>50</v>
      </c>
      <c r="Q23" s="9" t="s">
        <v>51</v>
      </c>
      <c r="R23" s="9" t="s">
        <v>52</v>
      </c>
      <c r="S23" s="9" t="s">
        <v>53</v>
      </c>
      <c r="T23" s="10" t="s">
        <v>50</v>
      </c>
      <c r="U23" s="10" t="s">
        <v>57</v>
      </c>
      <c r="W23" s="26"/>
      <c r="X23" s="27"/>
      <c r="Y23" s="28"/>
      <c r="Z23" s="29"/>
      <c r="AA23" s="29"/>
      <c r="AB23" s="29"/>
      <c r="AC23" s="29"/>
      <c r="AD23" s="29"/>
      <c r="AE23" s="32"/>
      <c r="AF23" s="30"/>
      <c r="AG23" s="30"/>
      <c r="AH23" s="29"/>
      <c r="AI23" s="31"/>
      <c r="AJ23" s="26"/>
    </row>
    <row r="24" spans="2:36" ht="15" customHeight="1">
      <c r="B24" s="16" t="s">
        <v>72</v>
      </c>
      <c r="C24" s="16">
        <v>491</v>
      </c>
      <c r="D24" s="17">
        <v>81.83</v>
      </c>
      <c r="E24" s="17">
        <f>C24 * 100/290</f>
        <v>169.31034482758622</v>
      </c>
      <c r="F24" s="16">
        <v>13</v>
      </c>
      <c r="G24" s="17">
        <f>132/26</f>
        <v>5.0769230769230766</v>
      </c>
      <c r="H24" s="17">
        <f>132/13</f>
        <v>10.153846153846153</v>
      </c>
      <c r="I24" s="17">
        <f t="shared" ref="I24:L28" si="4">C24*100/C$30</f>
        <v>26.670287887017924</v>
      </c>
      <c r="J24" s="17">
        <f t="shared" si="4"/>
        <v>35.844215357089304</v>
      </c>
      <c r="K24" s="17">
        <f t="shared" si="4"/>
        <v>20.60532721845221</v>
      </c>
      <c r="L24" s="17">
        <f t="shared" si="4"/>
        <v>14.285714285714286</v>
      </c>
      <c r="M24" s="17">
        <f>((G$30-G24)/G$30)/(4/100)</f>
        <v>20.672237243342838</v>
      </c>
      <c r="N24" s="17">
        <f xml:space="preserve"> ((H$30-H24)/H$30)/(4/100)</f>
        <v>20.816677512317561</v>
      </c>
      <c r="O24" s="17">
        <f>I24/4</f>
        <v>6.667571971754481</v>
      </c>
      <c r="P24" s="17">
        <f>J24*0.15</f>
        <v>5.3766323035633956</v>
      </c>
      <c r="Q24" s="17">
        <f>K24*0.1</f>
        <v>2.0605327218452212</v>
      </c>
      <c r="R24" s="17">
        <f>L24*0.25</f>
        <v>3.5714285714285716</v>
      </c>
      <c r="S24" s="17">
        <f>M24*0.15</f>
        <v>3.1008355865014257</v>
      </c>
      <c r="T24" s="17">
        <f>N24*0.1</f>
        <v>2.0816677512317563</v>
      </c>
      <c r="U24" s="17">
        <f>SUM(O24:T24)</f>
        <v>22.858668906324851</v>
      </c>
      <c r="W24" s="26"/>
      <c r="X24" s="27"/>
      <c r="Y24" s="28"/>
      <c r="Z24" s="29"/>
      <c r="AA24" s="29"/>
      <c r="AB24" s="29"/>
      <c r="AC24" s="29"/>
      <c r="AD24" s="29"/>
      <c r="AE24" s="32"/>
      <c r="AF24" s="30"/>
      <c r="AG24" s="30"/>
      <c r="AH24" s="29"/>
      <c r="AI24" s="31"/>
      <c r="AJ24" s="26"/>
    </row>
    <row r="25" spans="2:36" ht="15" customHeight="1">
      <c r="B25" s="33" t="s">
        <v>73</v>
      </c>
      <c r="C25" s="33">
        <v>428</v>
      </c>
      <c r="D25" s="34">
        <v>42.8</v>
      </c>
      <c r="E25" s="34">
        <f>C25 * 100/257</f>
        <v>166.53696498054475</v>
      </c>
      <c r="F25" s="33">
        <v>22</v>
      </c>
      <c r="G25" s="34">
        <v>4.6399999999999997</v>
      </c>
      <c r="H25" s="34">
        <v>9.4499999999999993</v>
      </c>
      <c r="I25" s="34">
        <f t="shared" si="4"/>
        <v>23.248234655078761</v>
      </c>
      <c r="J25" s="34">
        <f t="shared" si="4"/>
        <v>18.747799306897498</v>
      </c>
      <c r="K25" s="34">
        <f t="shared" si="4"/>
        <v>20.267802660767657</v>
      </c>
      <c r="L25" s="34">
        <f t="shared" si="4"/>
        <v>24.175824175824175</v>
      </c>
      <c r="M25" s="34">
        <f>((G$30-G25)/G$30)/(4/100)</f>
        <v>21.044687129067274</v>
      </c>
      <c r="N25" s="34">
        <f xml:space="preserve"> ((H$30-H25)/H$30)/(4/100)</f>
        <v>21.10665782112282</v>
      </c>
      <c r="O25" s="34">
        <f>I25/4</f>
        <v>5.8120586637696903</v>
      </c>
      <c r="P25" s="34">
        <f>J25*0.15</f>
        <v>2.8121698960346246</v>
      </c>
      <c r="Q25" s="34">
        <f>K25*0.1</f>
        <v>2.026780266076766</v>
      </c>
      <c r="R25" s="34">
        <f>L25*0.25</f>
        <v>6.0439560439560438</v>
      </c>
      <c r="S25" s="34">
        <f>M25*0.15</f>
        <v>3.1567030693600908</v>
      </c>
      <c r="T25" s="34">
        <f>N25*0.1</f>
        <v>2.1106657821122821</v>
      </c>
      <c r="U25" s="35">
        <f>SUM(O25:T25)</f>
        <v>21.962333721309498</v>
      </c>
      <c r="W25" s="26"/>
      <c r="X25" s="27"/>
      <c r="Y25" s="28"/>
      <c r="Z25" s="29"/>
      <c r="AA25" s="29"/>
      <c r="AB25" s="29"/>
      <c r="AC25" s="29"/>
      <c r="AD25" s="29"/>
      <c r="AE25" s="32"/>
      <c r="AF25" s="30"/>
      <c r="AG25" s="30"/>
      <c r="AH25" s="29"/>
      <c r="AI25" s="31"/>
      <c r="AJ25" s="26"/>
    </row>
    <row r="26" spans="2:36" ht="15" customHeight="1">
      <c r="B26" s="33" t="s">
        <v>85</v>
      </c>
      <c r="C26" s="33">
        <v>424</v>
      </c>
      <c r="D26" s="34">
        <v>53</v>
      </c>
      <c r="E26" s="34">
        <f>C26 * 100/223</f>
        <v>190.13452914798205</v>
      </c>
      <c r="F26" s="33">
        <v>15</v>
      </c>
      <c r="G26" s="34">
        <f>262/36</f>
        <v>7.2777777777777777</v>
      </c>
      <c r="H26" s="34">
        <f>262/15</f>
        <v>17.466666666666665</v>
      </c>
      <c r="I26" s="34">
        <f t="shared" si="4"/>
        <v>23.03096143400326</v>
      </c>
      <c r="J26" s="34">
        <f t="shared" si="4"/>
        <v>23.215732786578677</v>
      </c>
      <c r="K26" s="34">
        <f t="shared" si="4"/>
        <v>23.139662213848226</v>
      </c>
      <c r="L26" s="34">
        <f t="shared" si="4"/>
        <v>16.483516483516482</v>
      </c>
      <c r="M26" s="34">
        <f>((G$30-G26)/G$30)/(4/100)</f>
        <v>18.796144802536073</v>
      </c>
      <c r="N26" s="34">
        <f xml:space="preserve"> ((H$30-H26)/H$30)/(4/100)</f>
        <v>17.803840205532126</v>
      </c>
      <c r="O26" s="34">
        <f>I26/4</f>
        <v>5.7577403585008149</v>
      </c>
      <c r="P26" s="34">
        <f>J26*0.15</f>
        <v>3.4823599179868014</v>
      </c>
      <c r="Q26" s="34">
        <f>K26*0.1</f>
        <v>2.3139662213848227</v>
      </c>
      <c r="R26" s="34">
        <f>L26*0.25</f>
        <v>4.1208791208791204</v>
      </c>
      <c r="S26" s="34">
        <f>M26*0.15</f>
        <v>2.8194217203804111</v>
      </c>
      <c r="T26" s="34">
        <f>N26*0.1</f>
        <v>1.7803840205532127</v>
      </c>
      <c r="U26" s="35">
        <f>SUM(O26:T26)</f>
        <v>20.274751359685183</v>
      </c>
      <c r="W26" s="26"/>
      <c r="X26" s="27"/>
      <c r="Y26" s="28"/>
      <c r="Z26" s="29"/>
      <c r="AA26" s="29"/>
      <c r="AB26" s="29"/>
      <c r="AC26" s="29"/>
      <c r="AD26" s="29"/>
      <c r="AE26" s="32"/>
      <c r="AF26" s="30"/>
      <c r="AG26" s="30"/>
      <c r="AH26" s="29"/>
      <c r="AI26" s="31"/>
      <c r="AJ26" s="26"/>
    </row>
    <row r="27" spans="2:36" ht="15" customHeight="1">
      <c r="B27" s="33" t="s">
        <v>69</v>
      </c>
      <c r="C27" s="33">
        <v>257</v>
      </c>
      <c r="D27" s="34">
        <f>257/8</f>
        <v>32.125</v>
      </c>
      <c r="E27" s="34">
        <f>C27 * 100/208</f>
        <v>123.55769230769231</v>
      </c>
      <c r="F27" s="33">
        <v>21</v>
      </c>
      <c r="G27" s="34">
        <f>5.98</f>
        <v>5.98</v>
      </c>
      <c r="H27" s="34">
        <v>12.81</v>
      </c>
      <c r="I27" s="34">
        <f t="shared" si="4"/>
        <v>13.959804454101032</v>
      </c>
      <c r="J27" s="34">
        <f t="shared" si="4"/>
        <v>14.071800297525284</v>
      </c>
      <c r="K27" s="34">
        <f t="shared" si="4"/>
        <v>15.037159619215524</v>
      </c>
      <c r="L27" s="34">
        <f t="shared" si="4"/>
        <v>23.076923076923077</v>
      </c>
      <c r="M27" s="34">
        <f>((G$30-G27)/G$30)/(4/100)</f>
        <v>19.902420049961702</v>
      </c>
      <c r="N27" s="34">
        <f xml:space="preserve"> ((H$30-H27)/H$30)/(4/100)</f>
        <v>19.722358379744268</v>
      </c>
      <c r="O27" s="34">
        <f>I27/4</f>
        <v>3.4899511135252581</v>
      </c>
      <c r="P27" s="34">
        <f>J27*0.15</f>
        <v>2.1107700446287927</v>
      </c>
      <c r="Q27" s="34">
        <f>K27*0.1</f>
        <v>1.5037159619215525</v>
      </c>
      <c r="R27" s="34">
        <f>L27*0.25</f>
        <v>5.7692307692307692</v>
      </c>
      <c r="S27" s="34">
        <f>M27*0.15</f>
        <v>2.985363007494255</v>
      </c>
      <c r="T27" s="34">
        <f>N27*0.1</f>
        <v>1.9722358379744269</v>
      </c>
      <c r="U27" s="35">
        <f>SUM(O27:T27)</f>
        <v>17.831266734775053</v>
      </c>
      <c r="W27" s="26"/>
      <c r="X27" s="27"/>
      <c r="Y27" s="28"/>
      <c r="Z27" s="29"/>
      <c r="AA27" s="29"/>
      <c r="AB27" s="29"/>
      <c r="AC27" s="29"/>
      <c r="AD27" s="29"/>
      <c r="AE27" s="32"/>
      <c r="AF27" s="30"/>
      <c r="AG27" s="30"/>
      <c r="AH27" s="29"/>
      <c r="AI27" s="31"/>
      <c r="AJ27" s="26"/>
    </row>
    <row r="28" spans="2:36" ht="15" customHeight="1">
      <c r="B28" s="33" t="s">
        <v>244</v>
      </c>
      <c r="C28" s="33">
        <v>241</v>
      </c>
      <c r="D28" s="34">
        <f>241/13</f>
        <v>18.53846153846154</v>
      </c>
      <c r="E28" s="34">
        <f>C28 * 100/140</f>
        <v>172.14285714285714</v>
      </c>
      <c r="F28" s="33">
        <v>20</v>
      </c>
      <c r="G28" s="34">
        <f>216/34</f>
        <v>6.3529411764705879</v>
      </c>
      <c r="H28" s="34">
        <f>216/20</f>
        <v>10.8</v>
      </c>
      <c r="I28" s="34">
        <f t="shared" si="4"/>
        <v>13.090711569799023</v>
      </c>
      <c r="J28" s="34">
        <f t="shared" si="4"/>
        <v>8.1204522519092333</v>
      </c>
      <c r="K28" s="34">
        <f t="shared" si="4"/>
        <v>20.950048287716392</v>
      </c>
      <c r="L28" s="34">
        <f t="shared" si="4"/>
        <v>21.978021978021978</v>
      </c>
      <c r="M28" s="34">
        <f>((G$30-G28)/G$30)/(4/100)</f>
        <v>19.584510775092109</v>
      </c>
      <c r="N28" s="34">
        <f xml:space="preserve"> ((H$30-H28)/H$30)/(4/100)</f>
        <v>20.550466081283226</v>
      </c>
      <c r="O28" s="34">
        <f>I28/4</f>
        <v>3.2726778924497557</v>
      </c>
      <c r="P28" s="34">
        <f>J28*0.15</f>
        <v>1.2180678377863849</v>
      </c>
      <c r="Q28" s="34">
        <f>K28*0.1</f>
        <v>2.0950048287716392</v>
      </c>
      <c r="R28" s="34">
        <f>L28*0.25</f>
        <v>5.4945054945054945</v>
      </c>
      <c r="S28" s="34">
        <f>M28*0.15</f>
        <v>2.9376766162638162</v>
      </c>
      <c r="T28" s="34">
        <f>N28*0.1</f>
        <v>2.0550466081283227</v>
      </c>
      <c r="U28" s="35">
        <f>SUM(O28:T28)</f>
        <v>17.072979277905414</v>
      </c>
      <c r="W28" s="26"/>
      <c r="X28" s="27"/>
      <c r="Y28" s="28"/>
      <c r="Z28" s="29"/>
      <c r="AA28" s="29"/>
      <c r="AB28" s="29"/>
      <c r="AC28" s="29"/>
      <c r="AD28" s="29"/>
      <c r="AE28" s="32"/>
      <c r="AF28" s="30"/>
      <c r="AG28" s="30"/>
      <c r="AH28" s="29"/>
      <c r="AI28" s="31"/>
      <c r="AJ28" s="26"/>
    </row>
    <row r="29" spans="2:36" ht="15" customHeight="1">
      <c r="B29" s="2"/>
      <c r="C29" s="2"/>
      <c r="D29" s="34"/>
      <c r="E29" s="34"/>
      <c r="F29" s="2"/>
      <c r="G29" s="34"/>
      <c r="H29" s="34"/>
      <c r="I29" s="3"/>
      <c r="J29" s="3"/>
      <c r="K29" s="3"/>
      <c r="L29" s="3"/>
      <c r="M29" s="3"/>
      <c r="N29" s="3"/>
      <c r="O29" s="3"/>
      <c r="P29" s="3"/>
      <c r="Q29" s="3"/>
      <c r="R29" s="3"/>
      <c r="S29" s="2"/>
      <c r="T29" s="2"/>
      <c r="U29" s="3"/>
      <c r="W29" s="26"/>
      <c r="X29" s="27"/>
      <c r="Y29" s="28"/>
      <c r="Z29" s="29"/>
      <c r="AA29" s="29"/>
      <c r="AB29" s="29"/>
      <c r="AC29" s="29"/>
      <c r="AD29" s="29"/>
      <c r="AE29" s="32"/>
      <c r="AF29" s="30"/>
      <c r="AG29" s="30"/>
      <c r="AH29" s="29"/>
      <c r="AI29" s="31"/>
      <c r="AJ29" s="26"/>
    </row>
    <row r="30" spans="2:36" ht="15" customHeight="1">
      <c r="B30" s="2" t="s">
        <v>20</v>
      </c>
      <c r="C30" s="2">
        <f t="shared" ref="C30:U30" si="5">SUM(C24:C29)</f>
        <v>1841</v>
      </c>
      <c r="D30" s="34">
        <f t="shared" si="5"/>
        <v>228.29346153846154</v>
      </c>
      <c r="E30" s="34">
        <f t="shared" si="5"/>
        <v>821.68238840666243</v>
      </c>
      <c r="F30" s="2">
        <f t="shared" si="5"/>
        <v>91</v>
      </c>
      <c r="G30" s="34">
        <f t="shared" si="5"/>
        <v>29.327642031171443</v>
      </c>
      <c r="H30" s="34">
        <f t="shared" si="5"/>
        <v>60.680512820512817</v>
      </c>
      <c r="I30" s="3">
        <f t="shared" si="5"/>
        <v>100</v>
      </c>
      <c r="J30" s="3">
        <f t="shared" si="5"/>
        <v>99.999999999999986</v>
      </c>
      <c r="K30" s="3">
        <f t="shared" si="5"/>
        <v>100.00000000000003</v>
      </c>
      <c r="L30" s="3">
        <f t="shared" si="5"/>
        <v>100</v>
      </c>
      <c r="M30" s="3">
        <f t="shared" si="5"/>
        <v>100</v>
      </c>
      <c r="N30" s="3">
        <f t="shared" si="5"/>
        <v>100</v>
      </c>
      <c r="O30" s="3">
        <f t="shared" si="5"/>
        <v>25</v>
      </c>
      <c r="P30" s="3">
        <f t="shared" si="5"/>
        <v>15</v>
      </c>
      <c r="Q30" s="3">
        <f t="shared" si="5"/>
        <v>10</v>
      </c>
      <c r="R30" s="3">
        <f t="shared" si="5"/>
        <v>25</v>
      </c>
      <c r="S30" s="3">
        <f t="shared" si="5"/>
        <v>15</v>
      </c>
      <c r="T30" s="3">
        <f t="shared" si="5"/>
        <v>10</v>
      </c>
      <c r="U30" s="3">
        <f t="shared" si="5"/>
        <v>100.00000000000001</v>
      </c>
      <c r="W30" s="26"/>
      <c r="X30" s="27"/>
      <c r="Y30" s="28"/>
      <c r="Z30" s="29"/>
      <c r="AA30" s="29"/>
      <c r="AB30" s="29"/>
      <c r="AC30" s="29"/>
      <c r="AD30" s="29"/>
      <c r="AE30" s="32"/>
      <c r="AF30" s="30"/>
      <c r="AG30" s="30"/>
      <c r="AH30" s="29"/>
      <c r="AI30" s="31"/>
      <c r="AJ30" s="26"/>
    </row>
    <row r="31" spans="2:36" ht="15" customHeight="1"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W31" s="26"/>
      <c r="X31" s="27"/>
      <c r="Y31" s="28"/>
      <c r="Z31" s="29"/>
      <c r="AA31" s="29"/>
      <c r="AB31" s="29"/>
      <c r="AC31" s="29"/>
      <c r="AD31" s="29"/>
      <c r="AE31" s="32"/>
      <c r="AF31" s="30"/>
      <c r="AG31" s="30"/>
      <c r="AH31" s="29"/>
      <c r="AI31" s="31"/>
      <c r="AJ31" s="26"/>
    </row>
    <row r="32" spans="2:36" ht="15" customHeight="1">
      <c r="B32" s="8" t="s">
        <v>68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W32" s="26"/>
      <c r="X32" s="27"/>
      <c r="Y32" s="28"/>
      <c r="Z32" s="29"/>
      <c r="AA32" s="29"/>
      <c r="AB32" s="29"/>
      <c r="AC32" s="29"/>
      <c r="AD32" s="29"/>
      <c r="AE32" s="32"/>
      <c r="AF32" s="30"/>
      <c r="AG32" s="30"/>
      <c r="AH32" s="29"/>
      <c r="AI32" s="31"/>
      <c r="AJ32" s="26"/>
    </row>
    <row r="33" spans="1:36" ht="15" customHeight="1">
      <c r="B33" s="9" t="s">
        <v>39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 spans="1:36" ht="15" customHeight="1">
      <c r="B34" s="33" t="s">
        <v>77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spans="1:36" ht="15" customHeight="1">
      <c r="B35" s="2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ht="15" customHeight="1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</row>
    <row r="37" spans="1:36" ht="15" customHeight="1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"/>
    </row>
    <row r="38" spans="1:36" ht="15" customHeight="1">
      <c r="A38" s="12" t="s">
        <v>4</v>
      </c>
      <c r="B38" s="6"/>
    </row>
    <row r="39" spans="1:36" ht="15" customHeight="1">
      <c r="B39" s="7" t="s">
        <v>1</v>
      </c>
    </row>
    <row r="40" spans="1:36" ht="15" customHeight="1">
      <c r="B40" s="9" t="s">
        <v>39</v>
      </c>
      <c r="C40" s="9" t="s">
        <v>14</v>
      </c>
      <c r="D40" s="9" t="s">
        <v>15</v>
      </c>
      <c r="E40" s="9" t="s">
        <v>16</v>
      </c>
      <c r="F40" s="10" t="s">
        <v>17</v>
      </c>
      <c r="G40" s="10" t="s">
        <v>18</v>
      </c>
      <c r="H40" s="10" t="s">
        <v>19</v>
      </c>
      <c r="I40" s="10" t="s">
        <v>55</v>
      </c>
      <c r="J40" s="10" t="s">
        <v>50</v>
      </c>
      <c r="K40" s="10" t="s">
        <v>56</v>
      </c>
      <c r="L40" s="10" t="s">
        <v>57</v>
      </c>
    </row>
    <row r="41" spans="1:36" ht="15" customHeight="1">
      <c r="B41" s="16" t="s">
        <v>286</v>
      </c>
      <c r="C41" s="16">
        <f>508-56</f>
        <v>452</v>
      </c>
      <c r="D41" s="17">
        <f>C41/(7-1)</f>
        <v>75.333333333333329</v>
      </c>
      <c r="E41" s="17">
        <f>C41*100/(534-66)</f>
        <v>96.581196581196579</v>
      </c>
      <c r="F41" s="17">
        <f t="shared" ref="F41:H45" si="6">C41*100/C$47</f>
        <v>26.745562130177515</v>
      </c>
      <c r="G41" s="17">
        <f t="shared" si="6"/>
        <v>24.15820416889364</v>
      </c>
      <c r="H41" s="17">
        <f t="shared" si="6"/>
        <v>19.647322355202931</v>
      </c>
      <c r="I41" s="17">
        <f>F41/2</f>
        <v>13.372781065088757</v>
      </c>
      <c r="J41" s="17">
        <f>G41*0.3</f>
        <v>7.247461250668092</v>
      </c>
      <c r="K41" s="17">
        <f>H41*0.2</f>
        <v>3.9294644710405864</v>
      </c>
      <c r="L41" s="17">
        <f>SUM(I41:K41)</f>
        <v>24.549706786797433</v>
      </c>
    </row>
    <row r="42" spans="1:36" ht="15" customHeight="1">
      <c r="B42" s="33" t="s">
        <v>287</v>
      </c>
      <c r="C42" s="33">
        <v>375</v>
      </c>
      <c r="D42" s="34">
        <f>C42/(10-2)</f>
        <v>46.875</v>
      </c>
      <c r="E42" s="3">
        <f>C42*100/346</f>
        <v>108.38150289017341</v>
      </c>
      <c r="F42" s="3">
        <f t="shared" si="6"/>
        <v>22.189349112426036</v>
      </c>
      <c r="G42" s="3">
        <f t="shared" si="6"/>
        <v>15.032068412613576</v>
      </c>
      <c r="H42" s="3">
        <f t="shared" si="6"/>
        <v>22.047835396555545</v>
      </c>
      <c r="I42" s="3">
        <f>F42/2</f>
        <v>11.094674556213018</v>
      </c>
      <c r="J42" s="3">
        <f>G42*0.3</f>
        <v>4.509620523784073</v>
      </c>
      <c r="K42" s="3">
        <f>H42*0.2</f>
        <v>4.4095670793111088</v>
      </c>
      <c r="L42" s="3">
        <f>SUM(I42:K42)</f>
        <v>20.0138621593082</v>
      </c>
    </row>
    <row r="43" spans="1:36" ht="15" customHeight="1">
      <c r="B43" s="2" t="s">
        <v>244</v>
      </c>
      <c r="C43" s="2">
        <v>358</v>
      </c>
      <c r="D43" s="34">
        <f>C43/(10-2)</f>
        <v>44.75</v>
      </c>
      <c r="E43" s="3">
        <f>C43*100/393</f>
        <v>91.094147582697204</v>
      </c>
      <c r="F43" s="3">
        <f t="shared" si="6"/>
        <v>21.183431952662723</v>
      </c>
      <c r="G43" s="3">
        <f t="shared" si="6"/>
        <v>14.350614644575094</v>
      </c>
      <c r="H43" s="3">
        <f t="shared" si="6"/>
        <v>18.531102798307327</v>
      </c>
      <c r="I43" s="3">
        <f>F43/2</f>
        <v>10.591715976331361</v>
      </c>
      <c r="J43" s="3">
        <f>G43*0.3</f>
        <v>4.305184393372528</v>
      </c>
      <c r="K43" s="3">
        <f>H43*0.2</f>
        <v>3.7062205596614657</v>
      </c>
      <c r="L43" s="3">
        <f>SUM(I43:K43)</f>
        <v>18.603120929365353</v>
      </c>
    </row>
    <row r="44" spans="1:36" ht="15" customHeight="1">
      <c r="B44" s="57" t="s">
        <v>191</v>
      </c>
      <c r="C44" s="57">
        <v>218</v>
      </c>
      <c r="D44" s="58">
        <v>109</v>
      </c>
      <c r="E44" s="58">
        <v>105.83</v>
      </c>
      <c r="F44" s="58">
        <f t="shared" si="6"/>
        <v>12.899408284023668</v>
      </c>
      <c r="G44" s="58">
        <f t="shared" si="6"/>
        <v>34.954569748797439</v>
      </c>
      <c r="H44" s="58">
        <f t="shared" si="6"/>
        <v>21.528788195361219</v>
      </c>
      <c r="I44" s="58">
        <f>F44/2</f>
        <v>6.449704142011834</v>
      </c>
      <c r="J44" s="58">
        <f>G44*0.3</f>
        <v>10.486370924639232</v>
      </c>
      <c r="K44" s="58">
        <f>H44*0.2</f>
        <v>4.3057576390722438</v>
      </c>
      <c r="L44" s="58">
        <f>SUM(I44:K44)</f>
        <v>21.241832705723308</v>
      </c>
    </row>
    <row r="45" spans="1:36" ht="15" customHeight="1">
      <c r="B45" s="2" t="s">
        <v>69</v>
      </c>
      <c r="C45" s="2">
        <f>301-14</f>
        <v>287</v>
      </c>
      <c r="D45" s="34">
        <f>C45/(10-2)</f>
        <v>35.875</v>
      </c>
      <c r="E45" s="3">
        <f>C45*100/(344-24)</f>
        <v>89.6875</v>
      </c>
      <c r="F45" s="3">
        <f t="shared" si="6"/>
        <v>16.982248520710058</v>
      </c>
      <c r="G45" s="3">
        <f t="shared" si="6"/>
        <v>11.504543025120258</v>
      </c>
      <c r="H45" s="3">
        <f t="shared" si="6"/>
        <v>18.244951254572989</v>
      </c>
      <c r="I45" s="3">
        <f>F45/2</f>
        <v>8.4911242603550292</v>
      </c>
      <c r="J45" s="3">
        <f>G45*0.3</f>
        <v>3.4513629075360774</v>
      </c>
      <c r="K45" s="3">
        <f>H45*0.2</f>
        <v>3.6489902509145979</v>
      </c>
      <c r="L45" s="3">
        <f>SUM(I45:K45)</f>
        <v>15.591477418805706</v>
      </c>
    </row>
    <row r="46" spans="1:36" ht="15" customHeight="1"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</row>
    <row r="47" spans="1:36" ht="15" customHeight="1">
      <c r="B47" s="2" t="s">
        <v>20</v>
      </c>
      <c r="C47" s="2">
        <f>SUM(C41:C45)</f>
        <v>1690</v>
      </c>
      <c r="D47" s="2">
        <f>SUM(D41:D45)</f>
        <v>311.83333333333331</v>
      </c>
      <c r="E47" s="3">
        <f t="shared" ref="E47:K47" si="7">SUM(E41:E46)</f>
        <v>491.57434705406718</v>
      </c>
      <c r="F47" s="3">
        <f t="shared" si="7"/>
        <v>100</v>
      </c>
      <c r="G47" s="3">
        <f t="shared" si="7"/>
        <v>100</v>
      </c>
      <c r="H47" s="3">
        <f t="shared" si="7"/>
        <v>100</v>
      </c>
      <c r="I47" s="3">
        <f t="shared" si="7"/>
        <v>50</v>
      </c>
      <c r="J47" s="3">
        <f t="shared" si="7"/>
        <v>30</v>
      </c>
      <c r="K47" s="3">
        <f t="shared" si="7"/>
        <v>20.000000000000004</v>
      </c>
      <c r="L47" s="2">
        <f t="shared" ref="L47" si="8">SUM(L41:L45)</f>
        <v>100</v>
      </c>
    </row>
    <row r="48" spans="1:36" ht="15" customHeight="1">
      <c r="B48" s="4"/>
      <c r="C48" s="4"/>
      <c r="D48" s="4"/>
      <c r="E48" s="5"/>
      <c r="F48" s="5"/>
      <c r="G48" s="5"/>
      <c r="H48" s="5"/>
      <c r="I48" s="5"/>
      <c r="J48" s="5"/>
      <c r="K48" s="5"/>
      <c r="L48" s="4"/>
    </row>
    <row r="49" spans="2:21" ht="15" customHeight="1">
      <c r="B49" s="7" t="s">
        <v>2</v>
      </c>
      <c r="F49" s="1"/>
      <c r="G49" s="1"/>
      <c r="H49" s="1"/>
      <c r="I49" s="1"/>
      <c r="J49" s="1"/>
      <c r="K49" s="1"/>
      <c r="L49" s="1"/>
    </row>
    <row r="50" spans="2:21" ht="15" customHeight="1">
      <c r="B50" s="9" t="s">
        <v>39</v>
      </c>
      <c r="C50" s="9" t="s">
        <v>21</v>
      </c>
      <c r="D50" s="9" t="s">
        <v>22</v>
      </c>
      <c r="E50" s="9" t="s">
        <v>23</v>
      </c>
      <c r="F50" s="10" t="s">
        <v>24</v>
      </c>
      <c r="G50" s="10" t="s">
        <v>25</v>
      </c>
      <c r="H50" s="10" t="s">
        <v>18</v>
      </c>
      <c r="I50" s="10" t="s">
        <v>58</v>
      </c>
      <c r="J50" s="10" t="s">
        <v>53</v>
      </c>
      <c r="K50" s="10" t="s">
        <v>50</v>
      </c>
      <c r="L50" s="10" t="s">
        <v>57</v>
      </c>
    </row>
    <row r="51" spans="2:21" ht="15" customHeight="1">
      <c r="B51" s="16" t="s">
        <v>288</v>
      </c>
      <c r="C51" s="16">
        <v>22</v>
      </c>
      <c r="D51" s="17">
        <f>209/46.67</f>
        <v>4.478251553460467</v>
      </c>
      <c r="E51" s="17">
        <f>209/22</f>
        <v>9.5</v>
      </c>
      <c r="F51" s="17">
        <f>C51*100/C$57</f>
        <v>25.581395348837209</v>
      </c>
      <c r="G51" s="17">
        <f t="shared" ref="G51:H55" si="9" xml:space="preserve"> ((D$57-D51)/D$57)/0.04</f>
        <v>19.280951407163947</v>
      </c>
      <c r="H51" s="17">
        <f t="shared" si="9"/>
        <v>21.209501516199396</v>
      </c>
      <c r="I51" s="17">
        <f>F51/2</f>
        <v>12.790697674418604</v>
      </c>
      <c r="J51" s="17">
        <f>G51*0.3</f>
        <v>5.7842854221491837</v>
      </c>
      <c r="K51" s="17">
        <f>H51*0.2</f>
        <v>4.2419003032398797</v>
      </c>
      <c r="L51" s="17">
        <f>SUM(I51:K51)</f>
        <v>22.816883399807669</v>
      </c>
    </row>
    <row r="52" spans="2:21" ht="15" customHeight="1">
      <c r="B52" s="2" t="s">
        <v>73</v>
      </c>
      <c r="C52" s="2">
        <v>16</v>
      </c>
      <c r="D52" s="3">
        <v>2.83</v>
      </c>
      <c r="E52" s="3">
        <v>9.3800000000000008</v>
      </c>
      <c r="F52" s="3">
        <f>C52*100/C$57</f>
        <v>18.604651162790699</v>
      </c>
      <c r="G52" s="3">
        <f t="shared" si="9"/>
        <v>21.385886919367113</v>
      </c>
      <c r="H52" s="3">
        <f t="shared" si="9"/>
        <v>21.257381497047401</v>
      </c>
      <c r="I52" s="3">
        <f>F52/2</f>
        <v>9.3023255813953494</v>
      </c>
      <c r="J52" s="3">
        <f>G52*0.3</f>
        <v>6.4157660758101338</v>
      </c>
      <c r="K52" s="3">
        <f>H52*0.2</f>
        <v>4.2514762994094806</v>
      </c>
      <c r="L52" s="3">
        <f>SUM(I52:K52)</f>
        <v>19.969567956614966</v>
      </c>
    </row>
    <row r="53" spans="2:21" ht="15" customHeight="1">
      <c r="B53" s="2" t="s">
        <v>302</v>
      </c>
      <c r="C53" s="2">
        <v>15</v>
      </c>
      <c r="D53" s="3">
        <f>169/54</f>
        <v>3.1296296296296298</v>
      </c>
      <c r="E53" s="3">
        <f>169/15</f>
        <v>11.266666666666667</v>
      </c>
      <c r="F53" s="3">
        <f>C53*100/C$57</f>
        <v>17.441860465116278</v>
      </c>
      <c r="G53" s="3">
        <f t="shared" si="9"/>
        <v>21.003238380925545</v>
      </c>
      <c r="H53" s="3">
        <f t="shared" si="9"/>
        <v>20.504601798159278</v>
      </c>
      <c r="I53" s="3">
        <f>F53/2</f>
        <v>8.720930232558139</v>
      </c>
      <c r="J53" s="3">
        <f>G53*0.3</f>
        <v>6.3009715142776637</v>
      </c>
      <c r="K53" s="3">
        <f>H53*0.2</f>
        <v>4.1009203596318562</v>
      </c>
      <c r="L53" s="3">
        <f>SUM(I53:K53)</f>
        <v>19.122822106467659</v>
      </c>
    </row>
    <row r="54" spans="2:21" ht="15" customHeight="1">
      <c r="B54" s="2" t="s">
        <v>301</v>
      </c>
      <c r="C54" s="2">
        <v>16</v>
      </c>
      <c r="D54" s="3">
        <f>220/50.83</f>
        <v>4.3281526657485738</v>
      </c>
      <c r="E54" s="3">
        <f>220/16</f>
        <v>13.75</v>
      </c>
      <c r="F54" s="3">
        <f>C54*100/C$57</f>
        <v>18.604651162790699</v>
      </c>
      <c r="G54" s="3">
        <f t="shared" si="9"/>
        <v>19.472638457859357</v>
      </c>
      <c r="H54" s="3">
        <f t="shared" si="9"/>
        <v>19.513752194499123</v>
      </c>
      <c r="I54" s="3">
        <f>F54/2</f>
        <v>9.3023255813953494</v>
      </c>
      <c r="J54" s="3">
        <f>G54*0.3</f>
        <v>5.8417915373578069</v>
      </c>
      <c r="K54" s="3">
        <f>H54*0.2</f>
        <v>3.9027504388998246</v>
      </c>
      <c r="L54" s="3">
        <f>SUM(I54:K54)</f>
        <v>19.04686755765298</v>
      </c>
    </row>
    <row r="55" spans="2:21" ht="15" customHeight="1">
      <c r="B55" s="33" t="s">
        <v>69</v>
      </c>
      <c r="C55" s="2">
        <v>17</v>
      </c>
      <c r="D55" s="3">
        <v>4.8099999999999996</v>
      </c>
      <c r="E55" s="3">
        <f>18.76</f>
        <v>18.760000000000002</v>
      </c>
      <c r="F55" s="3">
        <f>C55*100/C$57</f>
        <v>19.767441860465116</v>
      </c>
      <c r="G55" s="3">
        <f t="shared" si="9"/>
        <v>18.857284834684034</v>
      </c>
      <c r="H55" s="3">
        <f t="shared" si="9"/>
        <v>17.514762994094802</v>
      </c>
      <c r="I55" s="3">
        <f>F55/2</f>
        <v>9.8837209302325579</v>
      </c>
      <c r="J55" s="3">
        <f>G55*0.3</f>
        <v>5.6571854504052101</v>
      </c>
      <c r="K55" s="3">
        <f>H55*0.2</f>
        <v>3.5029525988189607</v>
      </c>
      <c r="L55" s="3">
        <f>SUM(I55:K55)</f>
        <v>19.043858979456729</v>
      </c>
    </row>
    <row r="56" spans="2:21" ht="15" customHeight="1"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</row>
    <row r="57" spans="2:21" ht="15" customHeight="1">
      <c r="B57" s="2" t="s">
        <v>20</v>
      </c>
      <c r="C57" s="2">
        <f t="shared" ref="C57:K57" si="10">SUM(C51:C56)</f>
        <v>86</v>
      </c>
      <c r="D57" s="3">
        <f t="shared" si="10"/>
        <v>19.576033848838669</v>
      </c>
      <c r="E57" s="3">
        <f t="shared" si="10"/>
        <v>62.656666666666666</v>
      </c>
      <c r="F57" s="3">
        <f t="shared" si="10"/>
        <v>100</v>
      </c>
      <c r="G57" s="3">
        <f t="shared" si="10"/>
        <v>100</v>
      </c>
      <c r="H57" s="3">
        <f t="shared" si="10"/>
        <v>100</v>
      </c>
      <c r="I57" s="3">
        <f t="shared" si="10"/>
        <v>50</v>
      </c>
      <c r="J57" s="3">
        <f t="shared" si="10"/>
        <v>30</v>
      </c>
      <c r="K57" s="3">
        <f t="shared" si="10"/>
        <v>20.000000000000004</v>
      </c>
      <c r="L57" s="3">
        <f t="shared" ref="L57" si="11">SUM(I57:K57)</f>
        <v>100</v>
      </c>
    </row>
    <row r="58" spans="2:21" ht="15" customHeight="1">
      <c r="B58" s="4"/>
      <c r="C58" s="4"/>
      <c r="D58" s="5"/>
      <c r="E58" s="5"/>
      <c r="F58" s="5"/>
      <c r="G58" s="5"/>
      <c r="H58" s="5"/>
      <c r="I58" s="5"/>
      <c r="J58" s="5"/>
      <c r="K58" s="5"/>
      <c r="L58" s="5"/>
    </row>
    <row r="59" spans="2:21" ht="15" customHeight="1">
      <c r="B59" s="7" t="s">
        <v>3</v>
      </c>
    </row>
    <row r="60" spans="2:21" ht="15" customHeight="1">
      <c r="B60" s="9" t="s">
        <v>39</v>
      </c>
      <c r="C60" s="9" t="s">
        <v>14</v>
      </c>
      <c r="D60" s="9" t="s">
        <v>23</v>
      </c>
      <c r="E60" s="9" t="s">
        <v>26</v>
      </c>
      <c r="F60" s="9" t="s">
        <v>27</v>
      </c>
      <c r="G60" s="10" t="s">
        <v>22</v>
      </c>
      <c r="H60" s="10" t="s">
        <v>54</v>
      </c>
      <c r="I60" s="9" t="s">
        <v>17</v>
      </c>
      <c r="J60" s="9" t="s">
        <v>18</v>
      </c>
      <c r="K60" s="9" t="s">
        <v>48</v>
      </c>
      <c r="L60" s="9" t="s">
        <v>49</v>
      </c>
      <c r="M60" s="9" t="s">
        <v>25</v>
      </c>
      <c r="N60" s="10" t="s">
        <v>18</v>
      </c>
      <c r="O60" s="9" t="s">
        <v>55</v>
      </c>
      <c r="P60" s="9" t="s">
        <v>50</v>
      </c>
      <c r="Q60" s="9" t="s">
        <v>51</v>
      </c>
      <c r="R60" s="9" t="s">
        <v>52</v>
      </c>
      <c r="S60" s="9" t="s">
        <v>53</v>
      </c>
      <c r="T60" s="10" t="s">
        <v>50</v>
      </c>
      <c r="U60" s="10" t="s">
        <v>57</v>
      </c>
    </row>
    <row r="61" spans="2:21" ht="15" customHeight="1">
      <c r="B61" s="16" t="s">
        <v>69</v>
      </c>
      <c r="C61" s="16">
        <f>301-14</f>
        <v>287</v>
      </c>
      <c r="D61" s="17">
        <f>C61/8</f>
        <v>35.875</v>
      </c>
      <c r="E61" s="17">
        <f>C61*100/(344-24)</f>
        <v>89.6875</v>
      </c>
      <c r="F61" s="16">
        <f>18-1</f>
        <v>17</v>
      </c>
      <c r="G61" s="17">
        <f>(344-25)/66.33</f>
        <v>4.8092868988391375</v>
      </c>
      <c r="H61" s="17">
        <f>(344-25)/17</f>
        <v>18.764705882352942</v>
      </c>
      <c r="I61" s="17">
        <f t="shared" ref="I61:L65" si="12">C61*100/C$67</f>
        <v>19.657534246575342</v>
      </c>
      <c r="J61" s="17">
        <f t="shared" si="12"/>
        <v>13.117001828153565</v>
      </c>
      <c r="K61" s="17">
        <f t="shared" si="12"/>
        <v>17.52289093182619</v>
      </c>
      <c r="L61" s="17">
        <f t="shared" si="12"/>
        <v>26.984126984126984</v>
      </c>
      <c r="M61" s="17">
        <f t="shared" ref="M61:N65" si="13" xml:space="preserve"> ((G$67-G61)/G$67)/0.04</f>
        <v>19.08475208516699</v>
      </c>
      <c r="N61" s="17">
        <f t="shared" si="13"/>
        <v>19.777834444633331</v>
      </c>
      <c r="O61" s="17">
        <f>I61*0.25</f>
        <v>4.9143835616438354</v>
      </c>
      <c r="P61" s="17">
        <f>J61*0.15</f>
        <v>1.9675502742230346</v>
      </c>
      <c r="Q61" s="17">
        <f>K61*0.1</f>
        <v>1.7522890931826192</v>
      </c>
      <c r="R61" s="17">
        <f>L61*0.25</f>
        <v>6.746031746031746</v>
      </c>
      <c r="S61" s="17">
        <f>M61*0.15</f>
        <v>2.8627128127750483</v>
      </c>
      <c r="T61" s="17">
        <f>N61*0.1</f>
        <v>1.9777834444633333</v>
      </c>
      <c r="U61" s="17">
        <f>SUM(O61:T61)</f>
        <v>20.220750932319618</v>
      </c>
    </row>
    <row r="62" spans="2:21" ht="15" customHeight="1">
      <c r="B62" s="33" t="s">
        <v>73</v>
      </c>
      <c r="C62" s="33">
        <v>222</v>
      </c>
      <c r="D62" s="3">
        <f>C62/6</f>
        <v>37</v>
      </c>
      <c r="E62" s="3">
        <f>C62*100/(216-26)</f>
        <v>116.84210526315789</v>
      </c>
      <c r="F62" s="33">
        <f>17-1</f>
        <v>16</v>
      </c>
      <c r="G62" s="3">
        <f>(164-14)/53</f>
        <v>2.8301886792452828</v>
      </c>
      <c r="H62" s="3">
        <f>(164-14)/16</f>
        <v>9.375</v>
      </c>
      <c r="I62" s="3">
        <f t="shared" si="12"/>
        <v>15.205479452054794</v>
      </c>
      <c r="J62" s="3">
        <f t="shared" si="12"/>
        <v>13.528336380255942</v>
      </c>
      <c r="K62" s="3">
        <f t="shared" si="12"/>
        <v>22.828281162606501</v>
      </c>
      <c r="L62" s="3">
        <f t="shared" si="12"/>
        <v>25.396825396825395</v>
      </c>
      <c r="M62" s="3">
        <f t="shared" si="13"/>
        <v>21.518970892019219</v>
      </c>
      <c r="N62" s="3">
        <f t="shared" si="13"/>
        <v>22.390963525433975</v>
      </c>
      <c r="O62" s="3">
        <f>I62*0.25</f>
        <v>3.8013698630136985</v>
      </c>
      <c r="P62" s="3">
        <f>J62*0.15</f>
        <v>2.0292504570383914</v>
      </c>
      <c r="Q62" s="3">
        <f>K62*0.1</f>
        <v>2.2828281162606503</v>
      </c>
      <c r="R62" s="3">
        <f>L62*0.25</f>
        <v>6.3492063492063489</v>
      </c>
      <c r="S62" s="3">
        <f>M62*0.15</f>
        <v>3.2278456338028829</v>
      </c>
      <c r="T62" s="3">
        <f>N62*0.1</f>
        <v>2.2390963525433976</v>
      </c>
      <c r="U62" s="3">
        <f>SUM(O62:T62)</f>
        <v>19.92959677186537</v>
      </c>
    </row>
    <row r="63" spans="2:21" ht="15" customHeight="1">
      <c r="B63" s="57" t="s">
        <v>287</v>
      </c>
      <c r="C63" s="57">
        <v>375</v>
      </c>
      <c r="D63" s="58">
        <f>C63/8</f>
        <v>46.875</v>
      </c>
      <c r="E63" s="58">
        <f>C63*100/346</f>
        <v>108.38150289017341</v>
      </c>
      <c r="F63" s="57">
        <f>13-1</f>
        <v>12</v>
      </c>
      <c r="G63" s="58">
        <f>(236-44)/39.33</f>
        <v>4.8817696414950422</v>
      </c>
      <c r="H63" s="58">
        <f>(236-44)/12</f>
        <v>16</v>
      </c>
      <c r="I63" s="58">
        <f t="shared" si="12"/>
        <v>25.684931506849313</v>
      </c>
      <c r="J63" s="58">
        <f t="shared" si="12"/>
        <v>17.138939670932359</v>
      </c>
      <c r="K63" s="58">
        <f t="shared" si="12"/>
        <v>21.175272520383707</v>
      </c>
      <c r="L63" s="58">
        <f t="shared" si="12"/>
        <v>19.047619047619047</v>
      </c>
      <c r="M63" s="58">
        <f t="shared" si="13"/>
        <v>18.995600948756262</v>
      </c>
      <c r="N63" s="58">
        <f t="shared" si="13"/>
        <v>20.547244416740646</v>
      </c>
      <c r="O63" s="58">
        <f>I63*0.25</f>
        <v>6.4212328767123283</v>
      </c>
      <c r="P63" s="58">
        <f>J63*0.15</f>
        <v>2.570840950639854</v>
      </c>
      <c r="Q63" s="58">
        <f>K63*0.1</f>
        <v>2.117527252038371</v>
      </c>
      <c r="R63" s="58">
        <f>L63*0.25</f>
        <v>4.7619047619047619</v>
      </c>
      <c r="S63" s="58">
        <f>M63*0.15</f>
        <v>2.8493401423134395</v>
      </c>
      <c r="T63" s="58">
        <f>N63*0.1</f>
        <v>2.0547244416740646</v>
      </c>
      <c r="U63" s="58">
        <f>SUM(O63:T63)</f>
        <v>20.775570425282822</v>
      </c>
    </row>
    <row r="64" spans="2:21" ht="15" customHeight="1">
      <c r="B64" s="57" t="s">
        <v>244</v>
      </c>
      <c r="C64" s="57">
        <v>358</v>
      </c>
      <c r="D64" s="58">
        <f>C64/8</f>
        <v>44.75</v>
      </c>
      <c r="E64" s="58">
        <f>C64*100/393</f>
        <v>91.094147582697204</v>
      </c>
      <c r="F64" s="57">
        <v>13</v>
      </c>
      <c r="G64" s="58">
        <f>191/52.83</f>
        <v>3.6153700548930532</v>
      </c>
      <c r="H64" s="58">
        <f>191/13</f>
        <v>14.692307692307692</v>
      </c>
      <c r="I64" s="58">
        <f t="shared" si="12"/>
        <v>24.520547945205479</v>
      </c>
      <c r="J64" s="58">
        <f t="shared" si="12"/>
        <v>16.361974405850091</v>
      </c>
      <c r="K64" s="58">
        <f t="shared" si="12"/>
        <v>17.797717771364812</v>
      </c>
      <c r="L64" s="58">
        <f t="shared" si="12"/>
        <v>20.634920634920636</v>
      </c>
      <c r="M64" s="58">
        <f t="shared" si="13"/>
        <v>20.553226366320974</v>
      </c>
      <c r="N64" s="58">
        <f t="shared" si="13"/>
        <v>20.911171555757036</v>
      </c>
      <c r="O64" s="58">
        <f>I64*0.25</f>
        <v>6.1301369863013697</v>
      </c>
      <c r="P64" s="58">
        <f>J64*0.15</f>
        <v>2.4542961608775138</v>
      </c>
      <c r="Q64" s="58">
        <f>K64*0.1</f>
        <v>1.7797717771364814</v>
      </c>
      <c r="R64" s="58">
        <f>L64*0.25</f>
        <v>5.1587301587301591</v>
      </c>
      <c r="S64" s="58">
        <f>M64*0.15</f>
        <v>3.0829839549481459</v>
      </c>
      <c r="T64" s="58">
        <f>N64*0.1</f>
        <v>2.0911171555757035</v>
      </c>
      <c r="U64" s="58">
        <f>SUM(O64:T64)</f>
        <v>20.697036193569375</v>
      </c>
    </row>
    <row r="65" spans="1:27" ht="15" customHeight="1">
      <c r="B65" s="33" t="s">
        <v>191</v>
      </c>
      <c r="C65" s="33">
        <v>218</v>
      </c>
      <c r="D65" s="3">
        <f>C65/2</f>
        <v>109</v>
      </c>
      <c r="E65" s="3">
        <f>C65*100/206</f>
        <v>105.8252427184466</v>
      </c>
      <c r="F65" s="33">
        <v>5</v>
      </c>
      <c r="G65" s="3">
        <f>155/37</f>
        <v>4.1891891891891895</v>
      </c>
      <c r="H65" s="3">
        <f>155/5</f>
        <v>31</v>
      </c>
      <c r="I65" s="3">
        <f t="shared" si="12"/>
        <v>14.931506849315069</v>
      </c>
      <c r="J65" s="3">
        <f t="shared" si="12"/>
        <v>39.853747714808044</v>
      </c>
      <c r="K65" s="3">
        <f t="shared" si="12"/>
        <v>20.6758376138188</v>
      </c>
      <c r="L65" s="3">
        <f t="shared" si="12"/>
        <v>7.9365079365079367</v>
      </c>
      <c r="M65" s="3">
        <f t="shared" si="13"/>
        <v>19.847449707736555</v>
      </c>
      <c r="N65" s="3">
        <f t="shared" si="13"/>
        <v>16.372786057435007</v>
      </c>
      <c r="O65" s="3">
        <f>I65*0.25</f>
        <v>3.7328767123287672</v>
      </c>
      <c r="P65" s="3">
        <f>J65*0.15</f>
        <v>5.9780621572212063</v>
      </c>
      <c r="Q65" s="3">
        <f>K65*0.1</f>
        <v>2.0675837613818802</v>
      </c>
      <c r="R65" s="3">
        <f>L65*0.25</f>
        <v>1.9841269841269842</v>
      </c>
      <c r="S65" s="3">
        <f>M65*0.15</f>
        <v>2.977117456160483</v>
      </c>
      <c r="T65" s="3">
        <f>N65*0.1</f>
        <v>1.6372786057435009</v>
      </c>
      <c r="U65" s="3">
        <f>SUM(O65:T65)</f>
        <v>18.377045676962819</v>
      </c>
    </row>
    <row r="66" spans="1:27" ht="16.5" customHeight="1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7" ht="15" customHeight="1">
      <c r="B67" s="2" t="s">
        <v>20</v>
      </c>
      <c r="C67" s="2">
        <f t="shared" ref="C67:T67" si="14">SUM(C61:C65)</f>
        <v>1460</v>
      </c>
      <c r="D67" s="3">
        <f t="shared" si="14"/>
        <v>273.5</v>
      </c>
      <c r="E67" s="3">
        <f t="shared" si="14"/>
        <v>511.83049845447505</v>
      </c>
      <c r="F67" s="2">
        <f t="shared" si="14"/>
        <v>63</v>
      </c>
      <c r="G67" s="3">
        <f t="shared" si="14"/>
        <v>20.325804463661704</v>
      </c>
      <c r="H67" s="3">
        <f t="shared" si="14"/>
        <v>89.832013574660635</v>
      </c>
      <c r="I67" s="2">
        <f t="shared" si="14"/>
        <v>100</v>
      </c>
      <c r="J67" s="2">
        <f t="shared" si="14"/>
        <v>100</v>
      </c>
      <c r="K67" s="2">
        <f t="shared" si="14"/>
        <v>100.00000000000001</v>
      </c>
      <c r="L67" s="2">
        <f t="shared" si="14"/>
        <v>100</v>
      </c>
      <c r="M67" s="2">
        <f t="shared" si="14"/>
        <v>100</v>
      </c>
      <c r="N67" s="2">
        <f t="shared" si="14"/>
        <v>100</v>
      </c>
      <c r="O67" s="2">
        <f t="shared" si="14"/>
        <v>25</v>
      </c>
      <c r="P67" s="2">
        <f t="shared" si="14"/>
        <v>15</v>
      </c>
      <c r="Q67" s="2">
        <f t="shared" si="14"/>
        <v>10.000000000000004</v>
      </c>
      <c r="R67" s="2">
        <f t="shared" si="14"/>
        <v>25</v>
      </c>
      <c r="S67" s="2">
        <f t="shared" si="14"/>
        <v>15</v>
      </c>
      <c r="T67" s="2">
        <f t="shared" si="14"/>
        <v>10</v>
      </c>
      <c r="U67" s="3">
        <f t="shared" ref="U67" si="15">SUM(O67:T67)</f>
        <v>100</v>
      </c>
    </row>
    <row r="68" spans="1:27" ht="15" customHeight="1">
      <c r="B68" s="4"/>
      <c r="C68" s="4"/>
      <c r="D68" s="5"/>
      <c r="E68" s="5"/>
      <c r="F68" s="4"/>
      <c r="G68" s="5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5"/>
    </row>
    <row r="69" spans="1:27" ht="15" customHeight="1">
      <c r="B69" s="7" t="s">
        <v>28</v>
      </c>
    </row>
    <row r="70" spans="1:27" ht="15" customHeight="1">
      <c r="B70" s="9" t="s">
        <v>39</v>
      </c>
    </row>
    <row r="71" spans="1:27" ht="15" customHeight="1">
      <c r="B71" s="33" t="s">
        <v>287</v>
      </c>
    </row>
    <row r="72" spans="1:27" ht="15" customHeight="1">
      <c r="B72" s="24"/>
    </row>
    <row r="74" spans="1:27" ht="15" customHeight="1">
      <c r="B74" s="7"/>
    </row>
    <row r="75" spans="1:27" ht="15" customHeight="1">
      <c r="A75" s="12" t="s">
        <v>29</v>
      </c>
    </row>
    <row r="76" spans="1:27" ht="15" customHeight="1">
      <c r="A76" s="12"/>
    </row>
    <row r="77" spans="1:27" ht="15" customHeight="1">
      <c r="B77" s="7" t="s">
        <v>5</v>
      </c>
    </row>
    <row r="78" spans="1:27" ht="15" customHeight="1">
      <c r="B78" s="9" t="s">
        <v>39</v>
      </c>
      <c r="C78" s="9" t="s">
        <v>14</v>
      </c>
      <c r="D78" s="9" t="s">
        <v>23</v>
      </c>
      <c r="E78" s="9" t="s">
        <v>26</v>
      </c>
      <c r="F78" s="9" t="s">
        <v>27</v>
      </c>
      <c r="G78" s="9" t="s">
        <v>22</v>
      </c>
      <c r="H78" s="10" t="s">
        <v>23</v>
      </c>
      <c r="I78" s="10" t="s">
        <v>31</v>
      </c>
      <c r="J78" s="10" t="s">
        <v>32</v>
      </c>
      <c r="K78" s="9" t="s">
        <v>17</v>
      </c>
      <c r="L78" s="9" t="s">
        <v>18</v>
      </c>
      <c r="M78" s="9" t="s">
        <v>48</v>
      </c>
      <c r="N78" s="9" t="s">
        <v>49</v>
      </c>
      <c r="O78" s="9" t="s">
        <v>25</v>
      </c>
      <c r="P78" s="10" t="s">
        <v>18</v>
      </c>
      <c r="Q78" s="10" t="s">
        <v>37</v>
      </c>
      <c r="R78" s="10" t="s">
        <v>34</v>
      </c>
      <c r="S78" s="9" t="s">
        <v>55</v>
      </c>
      <c r="T78" s="9" t="s">
        <v>50</v>
      </c>
      <c r="U78" s="9" t="s">
        <v>51</v>
      </c>
      <c r="V78" s="9" t="s">
        <v>52</v>
      </c>
      <c r="W78" s="9" t="s">
        <v>53</v>
      </c>
      <c r="X78" s="10" t="s">
        <v>50</v>
      </c>
      <c r="Y78" s="10" t="s">
        <v>59</v>
      </c>
      <c r="Z78" s="10" t="s">
        <v>60</v>
      </c>
      <c r="AA78" s="10" t="s">
        <v>57</v>
      </c>
    </row>
    <row r="79" spans="1:27" ht="15" customHeight="1">
      <c r="B79" s="16" t="s">
        <v>289</v>
      </c>
      <c r="C79" s="16">
        <v>411</v>
      </c>
      <c r="D79" s="17">
        <f>C79/13</f>
        <v>31.615384615384617</v>
      </c>
      <c r="E79" s="17">
        <f>C79*100/486</f>
        <v>84.567901234567898</v>
      </c>
      <c r="F79" s="16">
        <v>21</v>
      </c>
      <c r="G79" s="17">
        <f>351/62.67</f>
        <v>5.6007659167065578</v>
      </c>
      <c r="H79" s="17">
        <f>351/21</f>
        <v>16.714285714285715</v>
      </c>
      <c r="I79" s="16">
        <v>14</v>
      </c>
      <c r="J79" s="16">
        <v>1</v>
      </c>
      <c r="K79" s="17">
        <f t="shared" ref="K79:N83" si="16">C79*100/C$85</f>
        <v>29.399141630901287</v>
      </c>
      <c r="L79" s="17">
        <f t="shared" si="16"/>
        <v>20.962639577881276</v>
      </c>
      <c r="M79" s="17">
        <f t="shared" si="16"/>
        <v>15.632420163046348</v>
      </c>
      <c r="N79" s="17">
        <f t="shared" si="16"/>
        <v>38.18181818181818</v>
      </c>
      <c r="O79" s="17">
        <f t="shared" ref="O79:P83" si="17" xml:space="preserve"> ((G$85-G79)/G$85)/0.04</f>
        <v>20.82797770960239</v>
      </c>
      <c r="P79" s="17">
        <f t="shared" si="17"/>
        <v>21.554161512634742</v>
      </c>
      <c r="Q79" s="17">
        <f t="shared" ref="Q79:R83" si="18">I79*100/I$85</f>
        <v>34.146341463414636</v>
      </c>
      <c r="R79" s="17">
        <f t="shared" si="18"/>
        <v>20</v>
      </c>
      <c r="S79" s="17">
        <f>K79*0.2</f>
        <v>5.8798283261802577</v>
      </c>
      <c r="T79" s="17">
        <f t="shared" ref="T79:U83" si="19">L79*0.1</f>
        <v>2.0962639577881279</v>
      </c>
      <c r="U79" s="17">
        <f t="shared" si="19"/>
        <v>1.5632420163046348</v>
      </c>
      <c r="V79" s="17">
        <f>N79*0.2</f>
        <v>7.6363636363636367</v>
      </c>
      <c r="W79" s="17">
        <f t="shared" ref="W79:Z83" si="20">O79*0.1</f>
        <v>2.082797770960239</v>
      </c>
      <c r="X79" s="17">
        <f t="shared" si="20"/>
        <v>2.1554161512634744</v>
      </c>
      <c r="Y79" s="17">
        <f t="shared" si="20"/>
        <v>3.4146341463414638</v>
      </c>
      <c r="Z79" s="17">
        <f t="shared" si="20"/>
        <v>2</v>
      </c>
      <c r="AA79" s="17">
        <f>SUM(S79:Z79)</f>
        <v>26.828546005201837</v>
      </c>
    </row>
    <row r="80" spans="1:27" ht="15" customHeight="1">
      <c r="B80" s="2" t="s">
        <v>290</v>
      </c>
      <c r="C80" s="2">
        <v>297</v>
      </c>
      <c r="D80" s="34">
        <f>C80/12</f>
        <v>24.75</v>
      </c>
      <c r="E80" s="34">
        <f>C80*100/340</f>
        <v>87.352941176470594</v>
      </c>
      <c r="F80" s="33">
        <v>20</v>
      </c>
      <c r="G80" s="34">
        <f>381/81.5</f>
        <v>4.6748466257668708</v>
      </c>
      <c r="H80" s="34">
        <f>381/20</f>
        <v>19.05</v>
      </c>
      <c r="I80" s="33">
        <v>8</v>
      </c>
      <c r="J80" s="33">
        <v>1</v>
      </c>
      <c r="K80" s="34">
        <f t="shared" si="16"/>
        <v>21.244635193133046</v>
      </c>
      <c r="L80" s="34">
        <f t="shared" si="16"/>
        <v>16.41053353815888</v>
      </c>
      <c r="M80" s="34">
        <f t="shared" si="16"/>
        <v>16.147236232821211</v>
      </c>
      <c r="N80" s="34">
        <f t="shared" si="16"/>
        <v>36.363636363636367</v>
      </c>
      <c r="O80" s="34">
        <f t="shared" si="17"/>
        <v>21.51769693342974</v>
      </c>
      <c r="P80" s="34">
        <f t="shared" si="17"/>
        <v>21.072627672733699</v>
      </c>
      <c r="Q80" s="34">
        <f t="shared" si="18"/>
        <v>19.512195121951219</v>
      </c>
      <c r="R80" s="3">
        <f t="shared" si="18"/>
        <v>20</v>
      </c>
      <c r="S80" s="3">
        <f>K80*0.2</f>
        <v>4.2489270386266096</v>
      </c>
      <c r="T80" s="3">
        <f t="shared" si="19"/>
        <v>1.641053353815888</v>
      </c>
      <c r="U80" s="3">
        <f t="shared" si="19"/>
        <v>1.6147236232821212</v>
      </c>
      <c r="V80" s="3">
        <f>N80*0.2</f>
        <v>7.2727272727272734</v>
      </c>
      <c r="W80" s="3">
        <f t="shared" si="20"/>
        <v>2.151769693342974</v>
      </c>
      <c r="X80" s="3">
        <f t="shared" si="20"/>
        <v>2.1072627672733701</v>
      </c>
      <c r="Y80" s="3">
        <f t="shared" si="20"/>
        <v>1.9512195121951219</v>
      </c>
      <c r="Z80" s="3">
        <f t="shared" si="20"/>
        <v>2</v>
      </c>
      <c r="AA80" s="3">
        <f>SUM(S80:Z80)</f>
        <v>22.987683261263356</v>
      </c>
    </row>
    <row r="81" spans="2:27" ht="15" customHeight="1">
      <c r="B81" s="2" t="s">
        <v>291</v>
      </c>
      <c r="C81" s="2">
        <f>184</f>
        <v>184</v>
      </c>
      <c r="D81" s="34">
        <f>C81/6</f>
        <v>30.666666666666668</v>
      </c>
      <c r="E81" s="34">
        <f>C81*100/133</f>
        <v>138.34586466165413</v>
      </c>
      <c r="F81" s="33">
        <v>8</v>
      </c>
      <c r="G81" s="34">
        <f>174/30</f>
        <v>5.8</v>
      </c>
      <c r="H81" s="34">
        <f>174/8</f>
        <v>21.75</v>
      </c>
      <c r="I81" s="33">
        <v>5</v>
      </c>
      <c r="J81" s="33">
        <v>1</v>
      </c>
      <c r="K81" s="34">
        <f t="shared" si="16"/>
        <v>13.161659513590845</v>
      </c>
      <c r="L81" s="34">
        <f t="shared" si="16"/>
        <v>20.333590377247369</v>
      </c>
      <c r="M81" s="34">
        <f t="shared" si="16"/>
        <v>25.573304441034274</v>
      </c>
      <c r="N81" s="34">
        <f t="shared" si="16"/>
        <v>14.545454545454545</v>
      </c>
      <c r="O81" s="34">
        <f t="shared" si="17"/>
        <v>20.679567822656793</v>
      </c>
      <c r="P81" s="34">
        <f t="shared" si="17"/>
        <v>20.515992224774696</v>
      </c>
      <c r="Q81" s="34">
        <f t="shared" si="18"/>
        <v>12.195121951219512</v>
      </c>
      <c r="R81" s="3">
        <f t="shared" si="18"/>
        <v>20</v>
      </c>
      <c r="S81" s="3">
        <f>K81*0.2</f>
        <v>2.6323319027181693</v>
      </c>
      <c r="T81" s="3">
        <f t="shared" si="19"/>
        <v>2.033359037724737</v>
      </c>
      <c r="U81" s="3">
        <f t="shared" si="19"/>
        <v>2.5573304441034277</v>
      </c>
      <c r="V81" s="3">
        <f>N81*0.2</f>
        <v>2.9090909090909092</v>
      </c>
      <c r="W81" s="3">
        <f t="shared" si="20"/>
        <v>2.0679567822656795</v>
      </c>
      <c r="X81" s="3">
        <f t="shared" si="20"/>
        <v>2.0515992224774697</v>
      </c>
      <c r="Y81" s="3">
        <f t="shared" si="20"/>
        <v>1.2195121951219514</v>
      </c>
      <c r="Z81" s="3">
        <f t="shared" si="20"/>
        <v>2</v>
      </c>
      <c r="AA81" s="3">
        <f>SUM(S81:Z81)</f>
        <v>17.471180493502342</v>
      </c>
    </row>
    <row r="82" spans="2:27" ht="15" customHeight="1">
      <c r="B82" s="2" t="s">
        <v>284</v>
      </c>
      <c r="C82" s="2">
        <v>215</v>
      </c>
      <c r="D82" s="34">
        <f>C82/5</f>
        <v>43</v>
      </c>
      <c r="E82" s="34">
        <f>C82*100/132</f>
        <v>162.87878787878788</v>
      </c>
      <c r="F82" s="33">
        <v>4</v>
      </c>
      <c r="G82" s="34">
        <f>139/15</f>
        <v>9.2666666666666675</v>
      </c>
      <c r="H82" s="34">
        <f>139/4</f>
        <v>34.75</v>
      </c>
      <c r="I82" s="33">
        <v>3</v>
      </c>
      <c r="J82" s="33">
        <v>1</v>
      </c>
      <c r="K82" s="34">
        <f t="shared" si="16"/>
        <v>15.379113018597996</v>
      </c>
      <c r="L82" s="34">
        <f t="shared" si="16"/>
        <v>28.511229985488153</v>
      </c>
      <c r="M82" s="34">
        <f t="shared" si="16"/>
        <v>30.108227951719986</v>
      </c>
      <c r="N82" s="34">
        <f t="shared" si="16"/>
        <v>7.2727272727272725</v>
      </c>
      <c r="O82" s="34">
        <f t="shared" si="17"/>
        <v>18.097240544244762</v>
      </c>
      <c r="P82" s="34">
        <f t="shared" si="17"/>
        <v>17.835895623490604</v>
      </c>
      <c r="Q82" s="34">
        <f t="shared" si="18"/>
        <v>7.3170731707317076</v>
      </c>
      <c r="R82" s="3">
        <f t="shared" si="18"/>
        <v>20</v>
      </c>
      <c r="S82" s="3">
        <f>K82*0.2</f>
        <v>3.0758226037195993</v>
      </c>
      <c r="T82" s="3">
        <f t="shared" si="19"/>
        <v>2.8511229985488153</v>
      </c>
      <c r="U82" s="3">
        <f t="shared" si="19"/>
        <v>3.0108227951719986</v>
      </c>
      <c r="V82" s="3">
        <f>N82*0.2</f>
        <v>1.4545454545454546</v>
      </c>
      <c r="W82" s="3">
        <f t="shared" si="20"/>
        <v>1.8097240544244764</v>
      </c>
      <c r="X82" s="3">
        <f t="shared" si="20"/>
        <v>1.7835895623490605</v>
      </c>
      <c r="Y82" s="3">
        <f t="shared" si="20"/>
        <v>0.73170731707317083</v>
      </c>
      <c r="Z82" s="3">
        <f t="shared" si="20"/>
        <v>2</v>
      </c>
      <c r="AA82" s="3">
        <f>SUM(S82:Z82)</f>
        <v>16.717334785832577</v>
      </c>
    </row>
    <row r="83" spans="2:27" ht="15" customHeight="1">
      <c r="B83" s="2" t="s">
        <v>292</v>
      </c>
      <c r="C83" s="2">
        <v>291</v>
      </c>
      <c r="D83" s="34">
        <f>C83/14</f>
        <v>20.785714285714285</v>
      </c>
      <c r="E83" s="34">
        <f>C83*100/429</f>
        <v>67.832167832167826</v>
      </c>
      <c r="F83" s="33">
        <v>2</v>
      </c>
      <c r="G83" s="34">
        <f>174/21.17</f>
        <v>8.2191780821917799</v>
      </c>
      <c r="H83" s="34">
        <f>174/6</f>
        <v>29</v>
      </c>
      <c r="I83" s="33">
        <v>11</v>
      </c>
      <c r="J83" s="33">
        <v>1</v>
      </c>
      <c r="K83" s="34">
        <f t="shared" si="16"/>
        <v>20.815450643776824</v>
      </c>
      <c r="L83" s="34">
        <f t="shared" si="16"/>
        <v>13.782006521224339</v>
      </c>
      <c r="M83" s="34">
        <f t="shared" si="16"/>
        <v>12.538811211378198</v>
      </c>
      <c r="N83" s="34">
        <f t="shared" si="16"/>
        <v>3.6363636363636362</v>
      </c>
      <c r="O83" s="34">
        <f t="shared" si="17"/>
        <v>18.877516990066312</v>
      </c>
      <c r="P83" s="34">
        <f t="shared" si="17"/>
        <v>19.02132296636626</v>
      </c>
      <c r="Q83" s="34">
        <f t="shared" si="18"/>
        <v>26.829268292682926</v>
      </c>
      <c r="R83" s="3">
        <f t="shared" si="18"/>
        <v>20</v>
      </c>
      <c r="S83" s="3">
        <f>K83*0.2</f>
        <v>4.163090128755365</v>
      </c>
      <c r="T83" s="3">
        <f t="shared" si="19"/>
        <v>1.3782006521224339</v>
      </c>
      <c r="U83" s="3">
        <f t="shared" si="19"/>
        <v>1.2538811211378198</v>
      </c>
      <c r="V83" s="3">
        <f>N83*0.2</f>
        <v>0.72727272727272729</v>
      </c>
      <c r="W83" s="3">
        <f t="shared" si="20"/>
        <v>1.8877516990066312</v>
      </c>
      <c r="X83" s="3">
        <f t="shared" si="20"/>
        <v>1.9021322966366261</v>
      </c>
      <c r="Y83" s="3">
        <f t="shared" si="20"/>
        <v>2.6829268292682928</v>
      </c>
      <c r="Z83" s="3">
        <f t="shared" si="20"/>
        <v>2</v>
      </c>
      <c r="AA83" s="3">
        <f>SUM(S83:Z83)</f>
        <v>15.995255454199897</v>
      </c>
    </row>
    <row r="84" spans="2:27" ht="15" customHeight="1">
      <c r="B84" s="2"/>
      <c r="C84" s="2"/>
      <c r="D84" s="3"/>
      <c r="E84" s="3"/>
      <c r="F84" s="2"/>
      <c r="G84" s="3"/>
      <c r="H84" s="3"/>
      <c r="I84" s="2"/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22"/>
      <c r="Z84" s="3"/>
      <c r="AA84" s="3"/>
    </row>
    <row r="85" spans="2:27" ht="15" customHeight="1">
      <c r="B85" s="2" t="s">
        <v>20</v>
      </c>
      <c r="C85" s="2">
        <f t="shared" ref="C85:Z85" si="21">SUM(C79:C83)</f>
        <v>1398</v>
      </c>
      <c r="D85" s="3">
        <f t="shared" si="21"/>
        <v>150.81776556776555</v>
      </c>
      <c r="E85" s="3">
        <f t="shared" si="21"/>
        <v>540.97766278364827</v>
      </c>
      <c r="F85" s="2">
        <f t="shared" si="21"/>
        <v>55</v>
      </c>
      <c r="G85" s="3">
        <f t="shared" si="21"/>
        <v>33.561457291331877</v>
      </c>
      <c r="H85" s="3">
        <f t="shared" si="21"/>
        <v>121.26428571428572</v>
      </c>
      <c r="I85" s="2">
        <f t="shared" si="21"/>
        <v>41</v>
      </c>
      <c r="J85" s="2">
        <f t="shared" si="21"/>
        <v>5</v>
      </c>
      <c r="K85" s="2">
        <f t="shared" si="21"/>
        <v>100</v>
      </c>
      <c r="L85" s="2">
        <f t="shared" si="21"/>
        <v>100.00000000000003</v>
      </c>
      <c r="M85" s="2">
        <f t="shared" si="21"/>
        <v>100.00000000000001</v>
      </c>
      <c r="N85" s="2">
        <f t="shared" si="21"/>
        <v>100</v>
      </c>
      <c r="O85" s="2">
        <f t="shared" si="21"/>
        <v>100</v>
      </c>
      <c r="P85" s="2">
        <f t="shared" si="21"/>
        <v>99.999999999999986</v>
      </c>
      <c r="Q85" s="2">
        <f t="shared" si="21"/>
        <v>99.999999999999986</v>
      </c>
      <c r="R85" s="2">
        <f t="shared" si="21"/>
        <v>100</v>
      </c>
      <c r="S85" s="2">
        <f t="shared" si="21"/>
        <v>20</v>
      </c>
      <c r="T85" s="2">
        <f t="shared" si="21"/>
        <v>10.000000000000002</v>
      </c>
      <c r="U85" s="3">
        <f t="shared" si="21"/>
        <v>10.000000000000002</v>
      </c>
      <c r="V85" s="2">
        <f t="shared" si="21"/>
        <v>20</v>
      </c>
      <c r="W85" s="2">
        <f t="shared" si="21"/>
        <v>10</v>
      </c>
      <c r="X85" s="2">
        <f t="shared" si="21"/>
        <v>10</v>
      </c>
      <c r="Y85" s="2">
        <f t="shared" si="21"/>
        <v>10</v>
      </c>
      <c r="Z85" s="2">
        <f t="shared" si="21"/>
        <v>10</v>
      </c>
      <c r="AA85" s="3">
        <f>SUM(AA79:AA84)</f>
        <v>100</v>
      </c>
    </row>
    <row r="86" spans="2:27" ht="15" customHeight="1">
      <c r="B86" s="4"/>
      <c r="C86" s="4"/>
      <c r="D86" s="5"/>
      <c r="E86" s="5"/>
      <c r="F86" s="4"/>
      <c r="G86" s="5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4"/>
      <c r="W86" s="4"/>
      <c r="X86" s="4"/>
      <c r="Y86" s="4"/>
      <c r="Z86" s="4"/>
      <c r="AA86" s="5"/>
    </row>
    <row r="87" spans="2:27" ht="15" customHeight="1">
      <c r="B87" s="7" t="s">
        <v>6</v>
      </c>
    </row>
    <row r="88" spans="2:27" ht="15" customHeight="1">
      <c r="B88" s="9" t="s">
        <v>40</v>
      </c>
    </row>
    <row r="89" spans="2:27" ht="15" customHeight="1">
      <c r="B89" s="16" t="s">
        <v>311</v>
      </c>
    </row>
    <row r="90" spans="2:27" ht="15" customHeight="1">
      <c r="B90" s="2" t="s">
        <v>72</v>
      </c>
    </row>
    <row r="91" spans="2:27" ht="15" customHeight="1">
      <c r="B91" s="2" t="s">
        <v>312</v>
      </c>
    </row>
    <row r="92" spans="2:27" ht="15" customHeight="1">
      <c r="B92" s="2" t="s">
        <v>78</v>
      </c>
    </row>
    <row r="93" spans="2:27" ht="15" customHeight="1">
      <c r="B93" s="2" t="s">
        <v>313</v>
      </c>
    </row>
    <row r="94" spans="2:27" ht="15" customHeight="1">
      <c r="B94" s="4"/>
    </row>
    <row r="95" spans="2:27" ht="15" customHeight="1">
      <c r="B95" s="7" t="s">
        <v>7</v>
      </c>
    </row>
    <row r="96" spans="2:27" ht="15" customHeight="1">
      <c r="B96" s="9" t="s">
        <v>39</v>
      </c>
      <c r="C96" s="9" t="s">
        <v>31</v>
      </c>
      <c r="D96" s="9" t="s">
        <v>32</v>
      </c>
      <c r="E96" s="10" t="s">
        <v>33</v>
      </c>
      <c r="F96" s="10" t="s">
        <v>34</v>
      </c>
      <c r="G96" s="10" t="s">
        <v>59</v>
      </c>
      <c r="H96" s="10" t="s">
        <v>60</v>
      </c>
      <c r="I96" s="10" t="s">
        <v>57</v>
      </c>
    </row>
    <row r="97" spans="2:12" ht="15" customHeight="1">
      <c r="B97" s="16" t="s">
        <v>73</v>
      </c>
      <c r="C97" s="16">
        <v>18</v>
      </c>
      <c r="D97" s="16">
        <v>3</v>
      </c>
      <c r="E97" s="17">
        <f t="shared" ref="E97:F101" si="22">C97*100/C$103</f>
        <v>35.294117647058826</v>
      </c>
      <c r="F97" s="17">
        <f t="shared" si="22"/>
        <v>20</v>
      </c>
      <c r="G97" s="17">
        <f>E97*0.6</f>
        <v>21.176470588235293</v>
      </c>
      <c r="H97" s="17">
        <f>F97*0.4</f>
        <v>8</v>
      </c>
      <c r="I97" s="17">
        <f>SUM(G97:H97)</f>
        <v>29.176470588235293</v>
      </c>
    </row>
    <row r="98" spans="2:12" ht="15" customHeight="1">
      <c r="B98" s="2" t="s">
        <v>85</v>
      </c>
      <c r="C98" s="2">
        <v>7</v>
      </c>
      <c r="D98" s="2">
        <v>4</v>
      </c>
      <c r="E98" s="3">
        <f t="shared" si="22"/>
        <v>13.725490196078431</v>
      </c>
      <c r="F98" s="3">
        <f t="shared" si="22"/>
        <v>26.666666666666668</v>
      </c>
      <c r="G98" s="3">
        <f>E98*0.6</f>
        <v>8.235294117647058</v>
      </c>
      <c r="H98" s="3">
        <f>F98*0.4</f>
        <v>10.666666666666668</v>
      </c>
      <c r="I98" s="3">
        <f>SUM(G98:H98)</f>
        <v>18.901960784313726</v>
      </c>
    </row>
    <row r="99" spans="2:12" ht="15" customHeight="1">
      <c r="B99" s="2" t="s">
        <v>309</v>
      </c>
      <c r="C99" s="2">
        <v>11</v>
      </c>
      <c r="D99" s="2">
        <v>2</v>
      </c>
      <c r="E99" s="3">
        <f t="shared" si="22"/>
        <v>21.568627450980394</v>
      </c>
      <c r="F99" s="3">
        <f t="shared" si="22"/>
        <v>13.333333333333334</v>
      </c>
      <c r="G99" s="3">
        <f>E99*0.6</f>
        <v>12.941176470588236</v>
      </c>
      <c r="H99" s="3">
        <f>F99*0.4</f>
        <v>5.3333333333333339</v>
      </c>
      <c r="I99" s="3">
        <f>SUM(G99:H99)</f>
        <v>18.274509803921568</v>
      </c>
    </row>
    <row r="100" spans="2:12" ht="15" customHeight="1">
      <c r="B100" s="2" t="s">
        <v>310</v>
      </c>
      <c r="C100" s="2">
        <v>10</v>
      </c>
      <c r="D100" s="2">
        <v>2</v>
      </c>
      <c r="E100" s="3">
        <f t="shared" si="22"/>
        <v>19.607843137254903</v>
      </c>
      <c r="F100" s="3">
        <f t="shared" si="22"/>
        <v>13.333333333333334</v>
      </c>
      <c r="G100" s="3">
        <f>E100*0.6</f>
        <v>11.764705882352942</v>
      </c>
      <c r="H100" s="3">
        <f>F100*0.4</f>
        <v>5.3333333333333339</v>
      </c>
      <c r="I100" s="3">
        <f>SUM(G100:H100)</f>
        <v>17.098039215686278</v>
      </c>
    </row>
    <row r="101" spans="2:12" ht="15" customHeight="1">
      <c r="B101" s="2" t="s">
        <v>78</v>
      </c>
      <c r="C101" s="2">
        <v>5</v>
      </c>
      <c r="D101" s="2">
        <v>4</v>
      </c>
      <c r="E101" s="3">
        <f t="shared" si="22"/>
        <v>9.8039215686274517</v>
      </c>
      <c r="F101" s="3">
        <f t="shared" si="22"/>
        <v>26.666666666666668</v>
      </c>
      <c r="G101" s="3">
        <f>E101*0.6</f>
        <v>5.882352941176471</v>
      </c>
      <c r="H101" s="3">
        <f>F101*0.4</f>
        <v>10.666666666666668</v>
      </c>
      <c r="I101" s="3">
        <f>SUM(G101:H101)</f>
        <v>16.549019607843139</v>
      </c>
    </row>
    <row r="102" spans="2:12" ht="15" customHeight="1">
      <c r="B102" s="2"/>
      <c r="C102" s="2"/>
      <c r="D102" s="2"/>
      <c r="E102" s="3"/>
      <c r="F102" s="3"/>
      <c r="G102" s="3"/>
      <c r="H102" s="3"/>
      <c r="I102" s="3"/>
    </row>
    <row r="103" spans="2:12" ht="15" customHeight="1">
      <c r="B103" s="2" t="s">
        <v>20</v>
      </c>
      <c r="C103" s="2">
        <f t="shared" ref="C103:H103" si="23">SUM(C97:C101)</f>
        <v>51</v>
      </c>
      <c r="D103" s="2">
        <f t="shared" si="23"/>
        <v>15</v>
      </c>
      <c r="E103" s="3">
        <f t="shared" si="23"/>
        <v>100</v>
      </c>
      <c r="F103" s="3">
        <f t="shared" si="23"/>
        <v>100.00000000000001</v>
      </c>
      <c r="G103" s="3">
        <f t="shared" si="23"/>
        <v>60</v>
      </c>
      <c r="H103" s="3">
        <f t="shared" si="23"/>
        <v>40</v>
      </c>
      <c r="I103" s="3">
        <f>SUM(G103:H103)</f>
        <v>100</v>
      </c>
    </row>
    <row r="104" spans="2:12" ht="15" customHeight="1">
      <c r="B104" s="4"/>
      <c r="C104" s="4"/>
      <c r="D104" s="4"/>
      <c r="E104" s="5"/>
      <c r="F104" s="5"/>
      <c r="G104" s="5"/>
      <c r="H104" s="5"/>
      <c r="I104" s="5"/>
    </row>
    <row r="105" spans="2:12" ht="15" customHeight="1">
      <c r="B105" s="7" t="s">
        <v>8</v>
      </c>
    </row>
    <row r="106" spans="2:12" ht="15" customHeight="1">
      <c r="B106" s="9" t="s">
        <v>39</v>
      </c>
      <c r="C106" s="9" t="s">
        <v>14</v>
      </c>
      <c r="D106" s="9" t="s">
        <v>31</v>
      </c>
      <c r="E106" s="9" t="s">
        <v>35</v>
      </c>
      <c r="F106" s="10" t="s">
        <v>36</v>
      </c>
      <c r="G106" s="10" t="s">
        <v>37</v>
      </c>
      <c r="H106" s="10" t="s">
        <v>38</v>
      </c>
      <c r="I106" s="10" t="s">
        <v>55</v>
      </c>
      <c r="J106" s="10" t="s">
        <v>59</v>
      </c>
      <c r="K106" s="10" t="s">
        <v>61</v>
      </c>
      <c r="L106" s="10" t="s">
        <v>57</v>
      </c>
    </row>
    <row r="107" spans="2:12" ht="15" customHeight="1">
      <c r="B107" s="16" t="s">
        <v>308</v>
      </c>
      <c r="C107" s="16">
        <v>100</v>
      </c>
      <c r="D107" s="16">
        <v>16</v>
      </c>
      <c r="E107" s="16">
        <v>8</v>
      </c>
      <c r="F107" s="17">
        <f t="shared" ref="F107:H111" si="24">C107*100/C$113</f>
        <v>7.2568940493468794</v>
      </c>
      <c r="G107" s="17">
        <f t="shared" si="24"/>
        <v>27.118644067796609</v>
      </c>
      <c r="H107" s="17">
        <f t="shared" si="24"/>
        <v>34.782608695652172</v>
      </c>
      <c r="I107" s="17">
        <f t="shared" ref="I107:J111" si="25">F107*0.3</f>
        <v>2.1770682148040637</v>
      </c>
      <c r="J107" s="17">
        <f t="shared" si="25"/>
        <v>8.1355932203389827</v>
      </c>
      <c r="K107" s="17">
        <f>H107*0.4</f>
        <v>13.913043478260869</v>
      </c>
      <c r="L107" s="17">
        <f>SUM(I107:K107)</f>
        <v>24.225704913403916</v>
      </c>
    </row>
    <row r="108" spans="2:12" ht="15" customHeight="1">
      <c r="B108" s="33" t="s">
        <v>67</v>
      </c>
      <c r="C108" s="33">
        <v>548</v>
      </c>
      <c r="D108" s="33">
        <v>3</v>
      </c>
      <c r="E108" s="33">
        <v>6</v>
      </c>
      <c r="F108" s="34">
        <f t="shared" si="24"/>
        <v>39.767779390420898</v>
      </c>
      <c r="G108" s="34">
        <f t="shared" si="24"/>
        <v>5.0847457627118642</v>
      </c>
      <c r="H108" s="34">
        <f t="shared" si="24"/>
        <v>26.086956521739129</v>
      </c>
      <c r="I108" s="34">
        <f t="shared" si="25"/>
        <v>11.93033381712627</v>
      </c>
      <c r="J108" s="34">
        <f t="shared" si="25"/>
        <v>1.5254237288135593</v>
      </c>
      <c r="K108" s="34">
        <f>H108*0.4</f>
        <v>10.434782608695652</v>
      </c>
      <c r="L108" s="34">
        <f>SUM(I108:K108)</f>
        <v>23.890540154635481</v>
      </c>
    </row>
    <row r="109" spans="2:12" ht="15" customHeight="1">
      <c r="B109" s="2" t="s">
        <v>217</v>
      </c>
      <c r="C109" s="2">
        <f>93+292</f>
        <v>385</v>
      </c>
      <c r="D109" s="2">
        <v>9</v>
      </c>
      <c r="E109" s="2">
        <v>4</v>
      </c>
      <c r="F109" s="3">
        <f t="shared" si="24"/>
        <v>27.939042089985485</v>
      </c>
      <c r="G109" s="3">
        <f t="shared" si="24"/>
        <v>15.254237288135593</v>
      </c>
      <c r="H109" s="3">
        <f t="shared" si="24"/>
        <v>17.391304347826086</v>
      </c>
      <c r="I109" s="3">
        <f t="shared" si="25"/>
        <v>8.381712626995645</v>
      </c>
      <c r="J109" s="3">
        <f t="shared" si="25"/>
        <v>4.5762711864406782</v>
      </c>
      <c r="K109" s="3">
        <f>H109*0.4</f>
        <v>6.9565217391304346</v>
      </c>
      <c r="L109" s="3">
        <f>SUM(I109:K109)</f>
        <v>19.914505552566759</v>
      </c>
    </row>
    <row r="110" spans="2:12" ht="15" customHeight="1">
      <c r="B110" s="2" t="s">
        <v>83</v>
      </c>
      <c r="C110" s="2">
        <f>109+165</f>
        <v>274</v>
      </c>
      <c r="D110" s="2">
        <v>13</v>
      </c>
      <c r="E110" s="2">
        <v>2</v>
      </c>
      <c r="F110" s="3">
        <f t="shared" si="24"/>
        <v>19.883889695210449</v>
      </c>
      <c r="G110" s="3">
        <f t="shared" si="24"/>
        <v>22.033898305084747</v>
      </c>
      <c r="H110" s="3">
        <f t="shared" si="24"/>
        <v>8.695652173913043</v>
      </c>
      <c r="I110" s="3">
        <f t="shared" si="25"/>
        <v>5.9651669085631349</v>
      </c>
      <c r="J110" s="3">
        <f t="shared" si="25"/>
        <v>6.6101694915254239</v>
      </c>
      <c r="K110" s="3">
        <f>H110*0.4</f>
        <v>3.4782608695652173</v>
      </c>
      <c r="L110" s="3">
        <f>SUM(I110:K110)</f>
        <v>16.053597269653778</v>
      </c>
    </row>
    <row r="111" spans="2:12" ht="15" customHeight="1">
      <c r="B111" s="2" t="s">
        <v>300</v>
      </c>
      <c r="C111" s="2">
        <f>67+4</f>
        <v>71</v>
      </c>
      <c r="D111" s="2">
        <v>18</v>
      </c>
      <c r="E111" s="2">
        <v>3</v>
      </c>
      <c r="F111" s="3">
        <f t="shared" si="24"/>
        <v>5.1523947750362842</v>
      </c>
      <c r="G111" s="3">
        <f t="shared" si="24"/>
        <v>30.508474576271187</v>
      </c>
      <c r="H111" s="3">
        <f t="shared" si="24"/>
        <v>13.043478260869565</v>
      </c>
      <c r="I111" s="3">
        <f t="shared" si="25"/>
        <v>1.5457184325108853</v>
      </c>
      <c r="J111" s="3">
        <f t="shared" si="25"/>
        <v>9.1525423728813564</v>
      </c>
      <c r="K111" s="3">
        <f>H111*0.4</f>
        <v>5.2173913043478262</v>
      </c>
      <c r="L111" s="3">
        <f>SUM(I111:K111)</f>
        <v>15.915652109740067</v>
      </c>
    </row>
    <row r="112" spans="2:12" ht="15" customHeight="1">
      <c r="B112" s="2"/>
      <c r="C112" s="2"/>
      <c r="D112" s="2"/>
      <c r="E112" s="2"/>
      <c r="F112" s="3"/>
      <c r="G112" s="3"/>
      <c r="H112" s="3"/>
      <c r="I112" s="3"/>
      <c r="J112" s="3"/>
      <c r="K112" s="3"/>
      <c r="L112" s="3"/>
    </row>
    <row r="113" spans="2:12" ht="15" customHeight="1">
      <c r="B113" s="2" t="s">
        <v>20</v>
      </c>
      <c r="C113" s="2">
        <f>SUM(C107:C112)</f>
        <v>1378</v>
      </c>
      <c r="D113" s="2">
        <f t="shared" ref="D113:E113" si="26">SUM(D107:D112)</f>
        <v>59</v>
      </c>
      <c r="E113" s="2">
        <f t="shared" si="26"/>
        <v>23</v>
      </c>
      <c r="F113" s="3">
        <f t="shared" ref="F113" si="27">SUM(F107:F112)</f>
        <v>100.00000000000001</v>
      </c>
      <c r="G113" s="3">
        <f>SUM(G107:G112)</f>
        <v>99.999999999999986</v>
      </c>
      <c r="H113" s="3">
        <f t="shared" ref="H113" si="28">SUM(H107:H112)</f>
        <v>99.999999999999986</v>
      </c>
      <c r="I113" s="3">
        <f t="shared" ref="I113:K113" si="29">SUM(I107:I112)</f>
        <v>29.999999999999996</v>
      </c>
      <c r="J113" s="3">
        <f t="shared" si="29"/>
        <v>30</v>
      </c>
      <c r="K113" s="3">
        <f t="shared" si="29"/>
        <v>40</v>
      </c>
      <c r="L113" s="3">
        <f t="shared" ref="L113" si="30">SUM(I113:K113)</f>
        <v>100</v>
      </c>
    </row>
    <row r="116" spans="2:12" ht="15" customHeight="1">
      <c r="B116" s="7" t="s">
        <v>30</v>
      </c>
      <c r="G116" s="7" t="s">
        <v>11</v>
      </c>
    </row>
    <row r="117" spans="2:12" ht="15" customHeight="1">
      <c r="B117" s="9" t="s">
        <v>41</v>
      </c>
      <c r="C117" s="9" t="s">
        <v>14</v>
      </c>
      <c r="G117" s="61" t="s">
        <v>39</v>
      </c>
      <c r="H117" s="62"/>
      <c r="I117" s="9" t="s">
        <v>43</v>
      </c>
    </row>
    <row r="118" spans="2:12" ht="15" customHeight="1">
      <c r="B118" s="16" t="s">
        <v>279</v>
      </c>
      <c r="C118" s="16">
        <v>183</v>
      </c>
      <c r="G118" s="63" t="s">
        <v>293</v>
      </c>
      <c r="H118" s="64"/>
      <c r="I118" s="16" t="s">
        <v>294</v>
      </c>
      <c r="K118" s="20"/>
    </row>
    <row r="119" spans="2:12" ht="15" customHeight="1">
      <c r="B119" s="2" t="s">
        <v>280</v>
      </c>
      <c r="C119" s="2">
        <v>158</v>
      </c>
      <c r="G119" s="59" t="s">
        <v>288</v>
      </c>
      <c r="H119" s="60"/>
      <c r="I119" s="2" t="s">
        <v>295</v>
      </c>
      <c r="K119" s="20"/>
    </row>
    <row r="120" spans="2:12" ht="15" customHeight="1">
      <c r="B120" s="2" t="s">
        <v>282</v>
      </c>
      <c r="C120" s="2">
        <v>152</v>
      </c>
      <c r="G120" s="59" t="s">
        <v>288</v>
      </c>
      <c r="H120" s="60"/>
      <c r="I120" s="2" t="s">
        <v>296</v>
      </c>
      <c r="K120" s="20"/>
    </row>
    <row r="121" spans="2:12" ht="15" customHeight="1">
      <c r="B121" s="2" t="s">
        <v>281</v>
      </c>
      <c r="C121" s="2">
        <v>152</v>
      </c>
      <c r="G121" s="59" t="s">
        <v>297</v>
      </c>
      <c r="H121" s="60"/>
      <c r="I121" s="2" t="s">
        <v>298</v>
      </c>
      <c r="K121" s="20"/>
    </row>
    <row r="122" spans="2:12" ht="15" customHeight="1">
      <c r="B122" s="2" t="s">
        <v>283</v>
      </c>
      <c r="C122" s="2">
        <v>143</v>
      </c>
      <c r="G122" s="59" t="s">
        <v>73</v>
      </c>
      <c r="H122" s="60"/>
      <c r="I122" s="2" t="s">
        <v>299</v>
      </c>
      <c r="K122" s="20"/>
    </row>
    <row r="123" spans="2:12" ht="15" customHeight="1">
      <c r="G123" s="4"/>
      <c r="H123" s="4"/>
    </row>
    <row r="124" spans="2:12" ht="15" customHeight="1">
      <c r="B124" s="7" t="s">
        <v>9</v>
      </c>
      <c r="G124" s="11" t="s">
        <v>12</v>
      </c>
    </row>
    <row r="125" spans="2:12" ht="15" customHeight="1">
      <c r="B125" s="9" t="s">
        <v>39</v>
      </c>
      <c r="C125" s="14" t="s">
        <v>14</v>
      </c>
      <c r="G125" s="65" t="s">
        <v>44</v>
      </c>
      <c r="H125" s="65"/>
      <c r="I125" s="65" t="s">
        <v>45</v>
      </c>
      <c r="J125" s="65"/>
      <c r="K125" s="65"/>
      <c r="L125" s="65"/>
    </row>
    <row r="126" spans="2:12" ht="15" customHeight="1">
      <c r="B126" s="16" t="s">
        <v>67</v>
      </c>
      <c r="C126" s="18">
        <v>142</v>
      </c>
      <c r="G126" s="66" t="s">
        <v>314</v>
      </c>
      <c r="H126" s="66"/>
      <c r="I126" s="67" t="s">
        <v>315</v>
      </c>
      <c r="J126" s="67"/>
      <c r="K126" s="67"/>
      <c r="L126" s="67"/>
    </row>
    <row r="127" spans="2:12" ht="15" customHeight="1">
      <c r="B127" s="2" t="s">
        <v>284</v>
      </c>
      <c r="C127" s="15">
        <v>140</v>
      </c>
      <c r="G127" s="66" t="s">
        <v>316</v>
      </c>
      <c r="H127" s="66"/>
      <c r="I127" s="67" t="s">
        <v>317</v>
      </c>
      <c r="J127" s="67"/>
      <c r="K127" s="67"/>
      <c r="L127" s="67"/>
    </row>
    <row r="128" spans="2:12" ht="15" customHeight="1">
      <c r="B128" s="2" t="s">
        <v>78</v>
      </c>
      <c r="C128" s="15">
        <v>136</v>
      </c>
      <c r="G128" s="66" t="s">
        <v>217</v>
      </c>
      <c r="H128" s="66"/>
      <c r="I128" s="67" t="s">
        <v>318</v>
      </c>
      <c r="J128" s="67"/>
      <c r="K128" s="67"/>
      <c r="L128" s="67"/>
    </row>
    <row r="129" spans="2:12" ht="15" customHeight="1">
      <c r="B129" s="2" t="s">
        <v>285</v>
      </c>
      <c r="C129" s="15">
        <v>132</v>
      </c>
      <c r="G129" s="66" t="s">
        <v>319</v>
      </c>
      <c r="H129" s="66"/>
      <c r="I129" s="67"/>
      <c r="J129" s="67"/>
      <c r="K129" s="67"/>
      <c r="L129" s="67"/>
    </row>
    <row r="130" spans="2:12" ht="15" customHeight="1">
      <c r="B130" s="2" t="s">
        <v>66</v>
      </c>
      <c r="C130" s="15">
        <v>123</v>
      </c>
      <c r="G130" s="66" t="s">
        <v>320</v>
      </c>
      <c r="H130" s="66"/>
      <c r="I130" s="67" t="s">
        <v>321</v>
      </c>
      <c r="J130" s="67"/>
      <c r="K130" s="67"/>
      <c r="L130" s="67"/>
    </row>
    <row r="131" spans="2:12" ht="15" customHeight="1">
      <c r="B131" s="4"/>
      <c r="C131" s="4"/>
      <c r="G131" s="4"/>
      <c r="H131" s="4"/>
    </row>
    <row r="132" spans="2:12" ht="15" customHeight="1">
      <c r="B132" s="7" t="s">
        <v>10</v>
      </c>
      <c r="G132" s="7" t="s">
        <v>13</v>
      </c>
    </row>
    <row r="133" spans="2:12" ht="15" customHeight="1">
      <c r="B133" s="9" t="s">
        <v>39</v>
      </c>
      <c r="C133" s="9" t="s">
        <v>42</v>
      </c>
      <c r="G133" s="9" t="s">
        <v>46</v>
      </c>
      <c r="H133" s="9" t="s">
        <v>47</v>
      </c>
    </row>
    <row r="134" spans="2:12" ht="15" customHeight="1">
      <c r="B134" s="16" t="s">
        <v>286</v>
      </c>
      <c r="C134" s="16">
        <v>2</v>
      </c>
      <c r="G134" s="2" t="s">
        <v>304</v>
      </c>
      <c r="H134" s="19">
        <v>0</v>
      </c>
    </row>
    <row r="135" spans="2:12" ht="15" customHeight="1">
      <c r="B135" s="16" t="s">
        <v>73</v>
      </c>
      <c r="C135" s="16">
        <v>2</v>
      </c>
      <c r="G135" s="2" t="s">
        <v>305</v>
      </c>
      <c r="H135" s="19">
        <v>0</v>
      </c>
    </row>
    <row r="136" spans="2:12" ht="15" customHeight="1">
      <c r="B136" s="2" t="s">
        <v>85</v>
      </c>
      <c r="C136" s="2">
        <v>1</v>
      </c>
      <c r="G136" s="2" t="s">
        <v>306</v>
      </c>
      <c r="H136" s="19" t="s">
        <v>307</v>
      </c>
    </row>
    <row r="137" spans="2:12" ht="15" customHeight="1">
      <c r="B137" s="2" t="s">
        <v>72</v>
      </c>
      <c r="C137" s="2">
        <v>1</v>
      </c>
      <c r="G137" s="2"/>
      <c r="H137" s="19"/>
    </row>
    <row r="138" spans="2:12" ht="15" customHeight="1">
      <c r="B138" s="2" t="s">
        <v>78</v>
      </c>
      <c r="C138" s="2">
        <v>1</v>
      </c>
      <c r="G138" s="2"/>
      <c r="H138" s="2"/>
    </row>
  </sheetData>
  <sortState ref="B97:I101">
    <sortCondition descending="1" ref="I97:I101"/>
  </sortState>
  <mergeCells count="18">
    <mergeCell ref="G130:H130"/>
    <mergeCell ref="I125:L125"/>
    <mergeCell ref="I126:L126"/>
    <mergeCell ref="I127:L127"/>
    <mergeCell ref="I128:L128"/>
    <mergeCell ref="I129:L129"/>
    <mergeCell ref="I130:L130"/>
    <mergeCell ref="G125:H125"/>
    <mergeCell ref="G126:H126"/>
    <mergeCell ref="G127:H127"/>
    <mergeCell ref="G128:H128"/>
    <mergeCell ref="G129:H129"/>
    <mergeCell ref="G122:H122"/>
    <mergeCell ref="G117:H117"/>
    <mergeCell ref="G118:H118"/>
    <mergeCell ref="G119:H119"/>
    <mergeCell ref="G120:H120"/>
    <mergeCell ref="G121:H121"/>
  </mergeCells>
  <pageMargins left="0.2" right="0.2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0"/>
  <sheetViews>
    <sheetView workbookViewId="0">
      <selection activeCell="H11" sqref="H11"/>
    </sheetView>
  </sheetViews>
  <sheetFormatPr defaultColWidth="9.140625" defaultRowHeight="17.25" customHeight="1"/>
  <cols>
    <col min="1" max="2" width="12.42578125" customWidth="1"/>
    <col min="3" max="3" width="20"/>
    <col min="4" max="4" width="17" customWidth="1"/>
    <col min="5" max="6" width="20"/>
    <col min="7" max="7" width="13.42578125" customWidth="1"/>
    <col min="8" max="8" width="20"/>
    <col min="9" max="9" width="11.42578125" customWidth="1"/>
  </cols>
  <sheetData>
    <row r="1" spans="1:7" ht="17.25" customHeight="1" thickBot="1">
      <c r="A1" s="37" t="s">
        <v>86</v>
      </c>
      <c r="B1" s="38" t="s">
        <v>87</v>
      </c>
      <c r="C1" s="38" t="s">
        <v>88</v>
      </c>
      <c r="D1" s="39" t="s">
        <v>89</v>
      </c>
      <c r="E1" s="40" t="s">
        <v>90</v>
      </c>
      <c r="F1" s="49" t="s">
        <v>278</v>
      </c>
      <c r="G1" s="49" t="s">
        <v>186</v>
      </c>
    </row>
    <row r="2" spans="1:7" ht="17.25" customHeight="1" thickBot="1">
      <c r="A2" s="41">
        <v>41490</v>
      </c>
      <c r="B2" s="36" t="s">
        <v>91</v>
      </c>
      <c r="C2" s="36" t="s">
        <v>170</v>
      </c>
      <c r="D2" s="36" t="s">
        <v>112</v>
      </c>
      <c r="E2" s="42" t="s">
        <v>105</v>
      </c>
      <c r="F2" s="50" t="s">
        <v>267</v>
      </c>
      <c r="G2">
        <v>9</v>
      </c>
    </row>
    <row r="3" spans="1:7" ht="17.25" customHeight="1" thickBot="1">
      <c r="A3" s="41">
        <v>41426</v>
      </c>
      <c r="B3" s="36" t="s">
        <v>91</v>
      </c>
      <c r="C3" s="36" t="s">
        <v>152</v>
      </c>
      <c r="D3" s="36" t="s">
        <v>153</v>
      </c>
      <c r="E3" s="42" t="s">
        <v>94</v>
      </c>
      <c r="F3" s="50" t="s">
        <v>246</v>
      </c>
      <c r="G3">
        <v>7</v>
      </c>
    </row>
    <row r="4" spans="1:7" ht="17.25" customHeight="1" thickBot="1">
      <c r="A4" s="41">
        <v>41497</v>
      </c>
      <c r="B4" s="36" t="s">
        <v>91</v>
      </c>
      <c r="C4" s="36" t="s">
        <v>128</v>
      </c>
      <c r="D4" s="36" t="s">
        <v>102</v>
      </c>
      <c r="E4" s="42" t="s">
        <v>105</v>
      </c>
      <c r="F4" s="50" t="s">
        <v>76</v>
      </c>
      <c r="G4">
        <v>6.5</v>
      </c>
    </row>
    <row r="5" spans="1:7" ht="17.25" customHeight="1" thickBot="1">
      <c r="A5" s="41">
        <v>41504</v>
      </c>
      <c r="B5" s="36" t="s">
        <v>91</v>
      </c>
      <c r="C5" s="36" t="s">
        <v>132</v>
      </c>
      <c r="D5" s="36" t="s">
        <v>102</v>
      </c>
      <c r="E5" s="42" t="s">
        <v>105</v>
      </c>
      <c r="F5" s="50" t="s">
        <v>76</v>
      </c>
      <c r="G5">
        <v>7</v>
      </c>
    </row>
    <row r="6" spans="1:7" ht="17.25" customHeight="1" thickBot="1">
      <c r="A6" s="41">
        <v>41476</v>
      </c>
      <c r="B6" s="36" t="s">
        <v>91</v>
      </c>
      <c r="C6" s="36" t="s">
        <v>164</v>
      </c>
      <c r="D6" s="36" t="s">
        <v>96</v>
      </c>
      <c r="E6" s="42" t="s">
        <v>94</v>
      </c>
      <c r="F6" s="50" t="s">
        <v>275</v>
      </c>
      <c r="G6">
        <v>9</v>
      </c>
    </row>
    <row r="7" spans="1:7" ht="17.25" customHeight="1" thickBot="1">
      <c r="A7" s="41">
        <v>41545</v>
      </c>
      <c r="B7" s="36" t="s">
        <v>140</v>
      </c>
      <c r="C7" s="36" t="s">
        <v>179</v>
      </c>
      <c r="D7" s="36" t="s">
        <v>96</v>
      </c>
      <c r="E7" s="42" t="s">
        <v>94</v>
      </c>
      <c r="F7" s="50" t="s">
        <v>275</v>
      </c>
      <c r="G7">
        <v>7</v>
      </c>
    </row>
    <row r="8" spans="1:7" ht="17.25" customHeight="1" thickBot="1">
      <c r="A8" s="41">
        <v>41405</v>
      </c>
      <c r="B8" s="36" t="s">
        <v>91</v>
      </c>
      <c r="C8" s="36" t="s">
        <v>124</v>
      </c>
      <c r="D8" s="36" t="s">
        <v>149</v>
      </c>
      <c r="E8" s="42" t="s">
        <v>99</v>
      </c>
      <c r="F8" s="50" t="s">
        <v>236</v>
      </c>
      <c r="G8">
        <v>7</v>
      </c>
    </row>
    <row r="9" spans="1:7" ht="17.25" customHeight="1" thickBot="1">
      <c r="A9" s="41">
        <v>41434</v>
      </c>
      <c r="B9" s="36" t="s">
        <v>91</v>
      </c>
      <c r="C9" s="36" t="s">
        <v>130</v>
      </c>
      <c r="D9" s="36" t="s">
        <v>93</v>
      </c>
      <c r="E9" s="42" t="s">
        <v>94</v>
      </c>
      <c r="F9" s="50" t="s">
        <v>198</v>
      </c>
      <c r="G9">
        <v>8</v>
      </c>
    </row>
    <row r="10" spans="1:7" ht="17.25" customHeight="1" thickBot="1">
      <c r="A10" s="41">
        <v>41447</v>
      </c>
      <c r="B10" s="36" t="s">
        <v>91</v>
      </c>
      <c r="C10" s="36" t="s">
        <v>117</v>
      </c>
      <c r="D10" s="36" t="s">
        <v>93</v>
      </c>
      <c r="E10" s="42" t="s">
        <v>97</v>
      </c>
      <c r="F10" s="50" t="s">
        <v>198</v>
      </c>
      <c r="G10">
        <v>7</v>
      </c>
    </row>
    <row r="11" spans="1:7" ht="17.25" customHeight="1" thickBot="1">
      <c r="A11" s="41">
        <v>41434</v>
      </c>
      <c r="B11" s="36" t="s">
        <v>91</v>
      </c>
      <c r="C11" s="36" t="s">
        <v>156</v>
      </c>
      <c r="D11" s="36" t="s">
        <v>144</v>
      </c>
      <c r="E11" s="42" t="s">
        <v>105</v>
      </c>
      <c r="F11" s="50" t="s">
        <v>250</v>
      </c>
      <c r="G11">
        <v>9</v>
      </c>
    </row>
    <row r="12" spans="1:7" ht="17.25" customHeight="1" thickBot="1">
      <c r="A12" s="41">
        <v>41510</v>
      </c>
      <c r="B12" s="36" t="s">
        <v>140</v>
      </c>
      <c r="C12" s="36" t="s">
        <v>174</v>
      </c>
      <c r="D12" s="36" t="s">
        <v>153</v>
      </c>
      <c r="E12" s="42" t="s">
        <v>94</v>
      </c>
      <c r="F12" s="50" t="s">
        <v>269</v>
      </c>
      <c r="G12">
        <v>8</v>
      </c>
    </row>
    <row r="13" spans="1:7" ht="17.25" customHeight="1" thickBot="1">
      <c r="A13" s="41">
        <v>41511</v>
      </c>
      <c r="B13" s="36" t="s">
        <v>91</v>
      </c>
      <c r="C13" s="36" t="s">
        <v>176</v>
      </c>
      <c r="D13" s="36" t="s">
        <v>153</v>
      </c>
      <c r="E13" s="42" t="s">
        <v>105</v>
      </c>
      <c r="F13" s="50" t="s">
        <v>269</v>
      </c>
      <c r="G13">
        <v>8</v>
      </c>
    </row>
    <row r="14" spans="1:7" ht="17.25" customHeight="1" thickBot="1">
      <c r="A14" s="41">
        <v>41385</v>
      </c>
      <c r="B14" s="36" t="s">
        <v>91</v>
      </c>
      <c r="C14" s="36" t="s">
        <v>95</v>
      </c>
      <c r="D14" s="36" t="s">
        <v>96</v>
      </c>
      <c r="E14" s="42" t="s">
        <v>97</v>
      </c>
      <c r="F14" s="50" t="s">
        <v>83</v>
      </c>
      <c r="G14">
        <v>4</v>
      </c>
    </row>
    <row r="15" spans="1:7" ht="17.25" customHeight="1" thickBot="1">
      <c r="A15" s="41">
        <v>41545</v>
      </c>
      <c r="B15" s="36" t="s">
        <v>91</v>
      </c>
      <c r="C15" s="36" t="s">
        <v>136</v>
      </c>
      <c r="D15" s="36" t="s">
        <v>96</v>
      </c>
      <c r="E15" s="42" t="s">
        <v>99</v>
      </c>
      <c r="F15" s="50" t="s">
        <v>83</v>
      </c>
      <c r="G15">
        <v>8</v>
      </c>
    </row>
    <row r="16" spans="1:7" ht="17.25" customHeight="1" thickBot="1">
      <c r="A16" s="41">
        <v>41567</v>
      </c>
      <c r="B16" s="36" t="s">
        <v>91</v>
      </c>
      <c r="C16" s="36" t="s">
        <v>152</v>
      </c>
      <c r="D16" s="36" t="s">
        <v>96</v>
      </c>
      <c r="E16" s="42" t="s">
        <v>94</v>
      </c>
      <c r="F16" s="50" t="s">
        <v>83</v>
      </c>
    </row>
    <row r="17" spans="1:7" ht="17.25" customHeight="1" thickBot="1">
      <c r="A17" s="41">
        <v>41378</v>
      </c>
      <c r="B17" s="36" t="s">
        <v>140</v>
      </c>
      <c r="C17" s="36" t="s">
        <v>92</v>
      </c>
      <c r="D17" s="36" t="s">
        <v>144</v>
      </c>
      <c r="E17" s="42" t="s">
        <v>94</v>
      </c>
      <c r="F17" s="50" t="s">
        <v>228</v>
      </c>
      <c r="G17">
        <v>5</v>
      </c>
    </row>
    <row r="18" spans="1:7" ht="17.25" customHeight="1" thickBot="1">
      <c r="A18" s="41">
        <v>41468</v>
      </c>
      <c r="B18" s="36" t="s">
        <v>91</v>
      </c>
      <c r="C18" s="36" t="s">
        <v>119</v>
      </c>
      <c r="D18" s="36" t="s">
        <v>104</v>
      </c>
      <c r="E18" s="42" t="s">
        <v>97</v>
      </c>
      <c r="F18" s="50" t="s">
        <v>205</v>
      </c>
      <c r="G18">
        <v>7</v>
      </c>
    </row>
    <row r="19" spans="1:7" ht="17.25" customHeight="1" thickBot="1">
      <c r="A19" s="41">
        <v>41489</v>
      </c>
      <c r="B19" s="36" t="s">
        <v>91</v>
      </c>
      <c r="C19" s="36" t="s">
        <v>168</v>
      </c>
      <c r="D19" s="36" t="s">
        <v>149</v>
      </c>
      <c r="E19" s="42" t="s">
        <v>105</v>
      </c>
      <c r="F19" s="50" t="s">
        <v>205</v>
      </c>
      <c r="G19">
        <v>8</v>
      </c>
    </row>
    <row r="20" spans="1:7" ht="17.25" customHeight="1" thickBot="1">
      <c r="A20" s="41">
        <v>41552</v>
      </c>
      <c r="B20" s="36" t="s">
        <v>91</v>
      </c>
      <c r="C20" s="36" t="s">
        <v>130</v>
      </c>
      <c r="D20" s="36" t="s">
        <v>112</v>
      </c>
      <c r="E20" s="42" t="s">
        <v>94</v>
      </c>
      <c r="F20" s="50" t="s">
        <v>205</v>
      </c>
      <c r="G20">
        <v>8</v>
      </c>
    </row>
    <row r="21" spans="1:7" ht="17.25" customHeight="1" thickBot="1">
      <c r="A21" s="41">
        <v>41482</v>
      </c>
      <c r="B21" s="36" t="s">
        <v>91</v>
      </c>
      <c r="C21" s="36" t="s">
        <v>123</v>
      </c>
      <c r="D21" s="36" t="s">
        <v>96</v>
      </c>
      <c r="E21" s="42" t="s">
        <v>97</v>
      </c>
      <c r="F21" s="50" t="s">
        <v>81</v>
      </c>
      <c r="G21">
        <v>5</v>
      </c>
    </row>
    <row r="22" spans="1:7" ht="17.25" customHeight="1" thickBot="1">
      <c r="A22" s="41">
        <v>41455</v>
      </c>
      <c r="B22" s="36" t="s">
        <v>91</v>
      </c>
      <c r="C22" s="36" t="s">
        <v>162</v>
      </c>
      <c r="D22" s="36" t="s">
        <v>108</v>
      </c>
      <c r="E22" s="42" t="s">
        <v>97</v>
      </c>
      <c r="F22" s="50" t="s">
        <v>81</v>
      </c>
      <c r="G22">
        <v>8</v>
      </c>
    </row>
    <row r="23" spans="1:7" ht="17.25" customHeight="1" thickBot="1">
      <c r="A23" s="41">
        <v>41475</v>
      </c>
      <c r="B23" s="36" t="s">
        <v>140</v>
      </c>
      <c r="C23" s="36" t="s">
        <v>123</v>
      </c>
      <c r="D23" s="36" t="s">
        <v>108</v>
      </c>
      <c r="E23" s="42" t="s">
        <v>97</v>
      </c>
      <c r="F23" s="50" t="s">
        <v>81</v>
      </c>
      <c r="G23">
        <v>7</v>
      </c>
    </row>
    <row r="24" spans="1:7" ht="17.25" customHeight="1" thickBot="1">
      <c r="A24" s="41">
        <v>41510</v>
      </c>
      <c r="B24" s="36" t="s">
        <v>140</v>
      </c>
      <c r="C24" s="36" t="s">
        <v>175</v>
      </c>
      <c r="D24" s="36" t="s">
        <v>108</v>
      </c>
      <c r="E24" s="42" t="s">
        <v>97</v>
      </c>
      <c r="F24" s="50" t="s">
        <v>81</v>
      </c>
      <c r="G24">
        <v>9</v>
      </c>
    </row>
    <row r="25" spans="1:7" ht="17.25" customHeight="1" thickBot="1">
      <c r="A25" s="41">
        <v>41377</v>
      </c>
      <c r="B25" s="36" t="s">
        <v>140</v>
      </c>
      <c r="C25" s="36" t="s">
        <v>133</v>
      </c>
      <c r="D25" s="36" t="s">
        <v>96</v>
      </c>
      <c r="E25" s="42" t="s">
        <v>109</v>
      </c>
      <c r="F25" s="50" t="s">
        <v>225</v>
      </c>
      <c r="G25">
        <v>7</v>
      </c>
    </row>
    <row r="26" spans="1:7" ht="17.25" customHeight="1" thickBot="1">
      <c r="A26" s="41">
        <v>41412</v>
      </c>
      <c r="B26" s="36" t="s">
        <v>91</v>
      </c>
      <c r="C26" s="36" t="s">
        <v>103</v>
      </c>
      <c r="D26" s="36" t="s">
        <v>104</v>
      </c>
      <c r="E26" s="42" t="s">
        <v>105</v>
      </c>
      <c r="F26" s="50" t="s">
        <v>193</v>
      </c>
      <c r="G26">
        <v>9</v>
      </c>
    </row>
    <row r="27" spans="1:7" ht="17.25" customHeight="1" thickBot="1">
      <c r="A27" s="41">
        <v>41489</v>
      </c>
      <c r="B27" s="36" t="s">
        <v>140</v>
      </c>
      <c r="C27" s="36" t="s">
        <v>169</v>
      </c>
      <c r="D27" s="36" t="s">
        <v>112</v>
      </c>
      <c r="E27" s="42" t="s">
        <v>105</v>
      </c>
      <c r="F27" s="50" t="s">
        <v>193</v>
      </c>
      <c r="G27">
        <v>9</v>
      </c>
    </row>
    <row r="28" spans="1:7" ht="17.25" customHeight="1" thickBot="1">
      <c r="A28" s="41">
        <v>41377</v>
      </c>
      <c r="B28" s="36" t="s">
        <v>91</v>
      </c>
      <c r="C28" s="36" t="s">
        <v>110</v>
      </c>
      <c r="D28" s="36" t="s">
        <v>108</v>
      </c>
      <c r="E28" s="42" t="s">
        <v>109</v>
      </c>
      <c r="F28" s="50" t="s">
        <v>75</v>
      </c>
      <c r="G28">
        <v>7</v>
      </c>
    </row>
    <row r="29" spans="1:7" ht="17.25" customHeight="1" thickBot="1">
      <c r="A29" s="41">
        <v>41441</v>
      </c>
      <c r="B29" s="36" t="s">
        <v>91</v>
      </c>
      <c r="C29" s="36" t="s">
        <v>114</v>
      </c>
      <c r="D29" s="36" t="s">
        <v>108</v>
      </c>
      <c r="E29" s="42" t="s">
        <v>94</v>
      </c>
      <c r="F29" s="50" t="s">
        <v>75</v>
      </c>
      <c r="G29">
        <v>9</v>
      </c>
    </row>
    <row r="30" spans="1:7" ht="17.25" customHeight="1" thickBot="1">
      <c r="A30" s="41">
        <v>41377</v>
      </c>
      <c r="B30" s="36" t="s">
        <v>91</v>
      </c>
      <c r="C30" s="36" t="s">
        <v>110</v>
      </c>
      <c r="D30" s="36" t="s">
        <v>108</v>
      </c>
      <c r="E30" s="42" t="s">
        <v>109</v>
      </c>
      <c r="F30" s="50" t="s">
        <v>224</v>
      </c>
      <c r="G30">
        <v>7</v>
      </c>
    </row>
    <row r="31" spans="1:7" ht="17.25" customHeight="1" thickBot="1">
      <c r="A31" s="41">
        <v>41468</v>
      </c>
      <c r="B31" s="36" t="s">
        <v>91</v>
      </c>
      <c r="C31" s="36" t="s">
        <v>119</v>
      </c>
      <c r="D31" s="36" t="s">
        <v>104</v>
      </c>
      <c r="E31" s="42" t="s">
        <v>97</v>
      </c>
      <c r="F31" s="50" t="s">
        <v>206</v>
      </c>
      <c r="G31">
        <v>7</v>
      </c>
    </row>
    <row r="32" spans="1:7" ht="17.25" customHeight="1" thickBot="1">
      <c r="A32" s="41">
        <v>41378</v>
      </c>
      <c r="B32" s="36" t="s">
        <v>91</v>
      </c>
      <c r="C32" s="36" t="s">
        <v>143</v>
      </c>
      <c r="D32" s="36" t="s">
        <v>112</v>
      </c>
      <c r="E32" s="42" t="s">
        <v>94</v>
      </c>
      <c r="F32" s="50" t="s">
        <v>230</v>
      </c>
      <c r="G32">
        <v>7</v>
      </c>
    </row>
    <row r="33" spans="1:7" ht="17.25" customHeight="1" thickBot="1">
      <c r="A33" s="41">
        <v>41567</v>
      </c>
      <c r="B33" s="36" t="s">
        <v>180</v>
      </c>
      <c r="C33" s="36" t="s">
        <v>127</v>
      </c>
      <c r="D33" s="36" t="s">
        <v>181</v>
      </c>
      <c r="E33" s="42" t="s">
        <v>97</v>
      </c>
      <c r="F33" s="50" t="s">
        <v>230</v>
      </c>
      <c r="G33">
        <v>8</v>
      </c>
    </row>
    <row r="34" spans="1:7" ht="17.25" customHeight="1" thickBot="1">
      <c r="A34" s="41">
        <v>41510</v>
      </c>
      <c r="B34" s="36" t="s">
        <v>140</v>
      </c>
      <c r="C34" s="36" t="s">
        <v>174</v>
      </c>
      <c r="D34" s="36" t="s">
        <v>153</v>
      </c>
      <c r="E34" s="42" t="s">
        <v>94</v>
      </c>
      <c r="F34" s="50" t="s">
        <v>270</v>
      </c>
      <c r="G34">
        <v>8</v>
      </c>
    </row>
    <row r="35" spans="1:7" ht="17.25" customHeight="1" thickBot="1">
      <c r="A35" s="41">
        <v>41378</v>
      </c>
      <c r="B35" s="36" t="s">
        <v>140</v>
      </c>
      <c r="C35" s="36" t="s">
        <v>92</v>
      </c>
      <c r="D35" s="36" t="s">
        <v>144</v>
      </c>
      <c r="E35" s="42" t="s">
        <v>94</v>
      </c>
      <c r="F35" s="50" t="s">
        <v>229</v>
      </c>
      <c r="G35">
        <v>6</v>
      </c>
    </row>
    <row r="36" spans="1:7" ht="17.25" customHeight="1" thickBot="1">
      <c r="A36" s="41">
        <v>41434</v>
      </c>
      <c r="B36" s="36" t="s">
        <v>140</v>
      </c>
      <c r="C36" s="36" t="s">
        <v>157</v>
      </c>
      <c r="D36" s="36" t="s">
        <v>102</v>
      </c>
      <c r="E36" s="42" t="s">
        <v>105</v>
      </c>
      <c r="F36" s="50" t="s">
        <v>80</v>
      </c>
      <c r="G36">
        <v>9</v>
      </c>
    </row>
    <row r="37" spans="1:7" ht="17.25" customHeight="1" thickBot="1">
      <c r="A37" s="41">
        <v>41559</v>
      </c>
      <c r="B37" s="36" t="s">
        <v>140</v>
      </c>
      <c r="C37" s="36" t="s">
        <v>143</v>
      </c>
      <c r="D37" s="36" t="s">
        <v>102</v>
      </c>
      <c r="E37" s="42" t="s">
        <v>94</v>
      </c>
      <c r="F37" s="50" t="s">
        <v>80</v>
      </c>
      <c r="G37">
        <v>8</v>
      </c>
    </row>
    <row r="38" spans="1:7" ht="17.25" customHeight="1" thickBot="1">
      <c r="A38" s="41">
        <v>41503</v>
      </c>
      <c r="B38" s="36" t="s">
        <v>91</v>
      </c>
      <c r="C38" s="36" t="s">
        <v>131</v>
      </c>
      <c r="D38" s="36" t="s">
        <v>108</v>
      </c>
      <c r="E38" s="42" t="s">
        <v>97</v>
      </c>
      <c r="F38" s="50" t="s">
        <v>217</v>
      </c>
      <c r="G38">
        <v>8</v>
      </c>
    </row>
    <row r="39" spans="1:7" ht="17.25" customHeight="1" thickBot="1">
      <c r="A39" s="41">
        <v>41448</v>
      </c>
      <c r="B39" s="36" t="s">
        <v>91</v>
      </c>
      <c r="C39" s="36" t="s">
        <v>118</v>
      </c>
      <c r="D39" s="36" t="s">
        <v>108</v>
      </c>
      <c r="E39" s="42" t="s">
        <v>105</v>
      </c>
      <c r="F39" s="50" t="s">
        <v>202</v>
      </c>
      <c r="G39">
        <v>3</v>
      </c>
    </row>
    <row r="40" spans="1:7" ht="17.25" customHeight="1" thickBot="1">
      <c r="A40" s="41">
        <v>41476</v>
      </c>
      <c r="B40" s="36" t="s">
        <v>140</v>
      </c>
      <c r="C40" s="36" t="s">
        <v>165</v>
      </c>
      <c r="D40" s="36" t="s">
        <v>121</v>
      </c>
      <c r="E40" s="42" t="s">
        <v>94</v>
      </c>
      <c r="F40" s="50" t="s">
        <v>260</v>
      </c>
      <c r="G40">
        <v>6</v>
      </c>
    </row>
    <row r="41" spans="1:7" ht="17.25" customHeight="1">
      <c r="A41" s="43">
        <v>41392</v>
      </c>
      <c r="B41" s="44" t="s">
        <v>91</v>
      </c>
      <c r="C41" s="44" t="s">
        <v>147</v>
      </c>
      <c r="D41" s="44" t="s">
        <v>93</v>
      </c>
      <c r="E41" s="45" t="s">
        <v>97</v>
      </c>
      <c r="F41" s="50" t="s">
        <v>77</v>
      </c>
      <c r="G41">
        <v>8</v>
      </c>
    </row>
    <row r="42" spans="1:7" ht="17.25" customHeight="1" thickBot="1">
      <c r="A42" s="46">
        <v>41447</v>
      </c>
      <c r="B42" s="47" t="s">
        <v>91</v>
      </c>
      <c r="C42" s="47" t="s">
        <v>117</v>
      </c>
      <c r="D42" s="47" t="s">
        <v>93</v>
      </c>
      <c r="E42" s="48" t="s">
        <v>97</v>
      </c>
      <c r="F42" s="50" t="s">
        <v>77</v>
      </c>
      <c r="G42">
        <v>8</v>
      </c>
    </row>
    <row r="43" spans="1:7" ht="17.25" customHeight="1" thickBot="1">
      <c r="A43" s="41">
        <v>41454</v>
      </c>
      <c r="B43" s="36" t="s">
        <v>91</v>
      </c>
      <c r="C43" s="36" t="s">
        <v>160</v>
      </c>
      <c r="D43" s="36" t="s">
        <v>93</v>
      </c>
      <c r="E43" s="42" t="s">
        <v>97</v>
      </c>
      <c r="F43" s="50" t="s">
        <v>65</v>
      </c>
      <c r="G43">
        <v>8</v>
      </c>
    </row>
    <row r="44" spans="1:7" ht="17.25" customHeight="1" thickBot="1">
      <c r="A44" s="41">
        <v>41482</v>
      </c>
      <c r="B44" s="36" t="s">
        <v>91</v>
      </c>
      <c r="C44" s="36" t="s">
        <v>124</v>
      </c>
      <c r="D44" s="36" t="s">
        <v>104</v>
      </c>
      <c r="E44" s="42" t="s">
        <v>109</v>
      </c>
      <c r="F44" s="50" t="s">
        <v>65</v>
      </c>
      <c r="G44">
        <v>8</v>
      </c>
    </row>
    <row r="45" spans="1:7" ht="17.25" customHeight="1" thickBot="1">
      <c r="A45" s="41">
        <v>41538</v>
      </c>
      <c r="B45" s="36" t="s">
        <v>91</v>
      </c>
      <c r="C45" s="36" t="s">
        <v>136</v>
      </c>
      <c r="D45" s="36" t="s">
        <v>104</v>
      </c>
      <c r="E45" s="42" t="s">
        <v>99</v>
      </c>
      <c r="F45" s="50" t="s">
        <v>65</v>
      </c>
      <c r="G45">
        <v>8</v>
      </c>
    </row>
    <row r="46" spans="1:7" ht="17.25" customHeight="1" thickBot="1">
      <c r="A46" s="41">
        <v>41545</v>
      </c>
      <c r="B46" s="36" t="s">
        <v>91</v>
      </c>
      <c r="C46" s="36" t="s">
        <v>136</v>
      </c>
      <c r="D46" s="36" t="s">
        <v>96</v>
      </c>
      <c r="E46" s="42" t="s">
        <v>99</v>
      </c>
      <c r="F46" s="50" t="s">
        <v>65</v>
      </c>
      <c r="G46">
        <v>8</v>
      </c>
    </row>
    <row r="47" spans="1:7" ht="17.25" customHeight="1" thickBot="1">
      <c r="A47" s="41">
        <v>41546</v>
      </c>
      <c r="B47" s="36" t="s">
        <v>180</v>
      </c>
      <c r="C47" s="36" t="s">
        <v>146</v>
      </c>
      <c r="D47" s="36" t="s">
        <v>181</v>
      </c>
      <c r="E47" s="42" t="s">
        <v>94</v>
      </c>
      <c r="F47" s="50" t="s">
        <v>65</v>
      </c>
    </row>
    <row r="48" spans="1:7" ht="17.25" customHeight="1" thickBot="1">
      <c r="A48" s="41">
        <v>41552</v>
      </c>
      <c r="B48" s="36" t="s">
        <v>91</v>
      </c>
      <c r="C48" s="36" t="s">
        <v>100</v>
      </c>
      <c r="D48" s="36" t="s">
        <v>108</v>
      </c>
      <c r="E48" s="42" t="s">
        <v>99</v>
      </c>
      <c r="F48" s="50" t="s">
        <v>65</v>
      </c>
      <c r="G48">
        <v>8</v>
      </c>
    </row>
    <row r="49" spans="1:7" ht="17.25" customHeight="1" thickBot="1">
      <c r="A49" s="41">
        <v>41447</v>
      </c>
      <c r="B49" s="36" t="s">
        <v>91</v>
      </c>
      <c r="C49" s="36" t="s">
        <v>116</v>
      </c>
      <c r="D49" s="36" t="s">
        <v>93</v>
      </c>
      <c r="E49" s="42" t="s">
        <v>94</v>
      </c>
      <c r="F49" s="50" t="s">
        <v>199</v>
      </c>
      <c r="G49">
        <v>6</v>
      </c>
    </row>
    <row r="50" spans="1:7" ht="17.25" customHeight="1" thickBot="1">
      <c r="A50" s="41">
        <v>41448</v>
      </c>
      <c r="B50" s="36" t="s">
        <v>91</v>
      </c>
      <c r="C50" s="36" t="s">
        <v>118</v>
      </c>
      <c r="D50" s="36" t="s">
        <v>108</v>
      </c>
      <c r="E50" s="42" t="s">
        <v>105</v>
      </c>
      <c r="F50" s="50" t="s">
        <v>201</v>
      </c>
      <c r="G50">
        <v>3</v>
      </c>
    </row>
    <row r="51" spans="1:7" ht="17.25" customHeight="1" thickBot="1">
      <c r="A51" s="41">
        <v>41385</v>
      </c>
      <c r="B51" s="36" t="s">
        <v>91</v>
      </c>
      <c r="C51" s="36" t="s">
        <v>92</v>
      </c>
      <c r="D51" s="36" t="s">
        <v>93</v>
      </c>
      <c r="E51" s="42" t="s">
        <v>94</v>
      </c>
      <c r="F51" s="50" t="s">
        <v>62</v>
      </c>
      <c r="G51">
        <v>9</v>
      </c>
    </row>
    <row r="52" spans="1:7" ht="17.25" customHeight="1" thickBot="1">
      <c r="A52" s="41">
        <v>41434</v>
      </c>
      <c r="B52" s="36" t="s">
        <v>91</v>
      </c>
      <c r="C52" s="36" t="s">
        <v>130</v>
      </c>
      <c r="D52" s="36" t="s">
        <v>93</v>
      </c>
      <c r="E52" s="42" t="s">
        <v>94</v>
      </c>
      <c r="F52" s="50" t="s">
        <v>62</v>
      </c>
      <c r="G52">
        <v>8</v>
      </c>
    </row>
    <row r="53" spans="1:7" ht="17.25" customHeight="1" thickBot="1">
      <c r="A53" s="41">
        <v>41441</v>
      </c>
      <c r="B53" s="36" t="s">
        <v>91</v>
      </c>
      <c r="C53" s="36" t="s">
        <v>115</v>
      </c>
      <c r="D53" s="36" t="s">
        <v>112</v>
      </c>
      <c r="E53" s="42" t="s">
        <v>97</v>
      </c>
      <c r="F53" s="50" t="s">
        <v>197</v>
      </c>
      <c r="G53">
        <v>9</v>
      </c>
    </row>
    <row r="54" spans="1:7" ht="17.25" customHeight="1" thickBot="1">
      <c r="A54" s="41">
        <v>41433</v>
      </c>
      <c r="B54" s="36" t="s">
        <v>140</v>
      </c>
      <c r="C54" s="36" t="s">
        <v>155</v>
      </c>
      <c r="D54" s="36" t="s">
        <v>102</v>
      </c>
      <c r="E54" s="42" t="s">
        <v>105</v>
      </c>
      <c r="F54" s="50" t="s">
        <v>247</v>
      </c>
      <c r="G54">
        <v>9</v>
      </c>
    </row>
    <row r="55" spans="1:7" ht="17.25" customHeight="1" thickBot="1">
      <c r="A55" s="41">
        <v>41433</v>
      </c>
      <c r="B55" s="36" t="s">
        <v>91</v>
      </c>
      <c r="C55" s="36" t="s">
        <v>154</v>
      </c>
      <c r="D55" s="36" t="s">
        <v>102</v>
      </c>
      <c r="E55" s="42" t="s">
        <v>105</v>
      </c>
      <c r="F55" s="50" t="s">
        <v>247</v>
      </c>
      <c r="G55">
        <v>8</v>
      </c>
    </row>
    <row r="56" spans="1:7" ht="17.25" customHeight="1" thickBot="1">
      <c r="A56" s="41">
        <v>41469</v>
      </c>
      <c r="B56" s="36" t="s">
        <v>91</v>
      </c>
      <c r="C56" s="36" t="s">
        <v>122</v>
      </c>
      <c r="D56" s="36" t="s">
        <v>112</v>
      </c>
      <c r="E56" s="42" t="s">
        <v>97</v>
      </c>
      <c r="F56" s="50" t="s">
        <v>207</v>
      </c>
      <c r="G56">
        <v>8</v>
      </c>
    </row>
    <row r="57" spans="1:7" ht="17.25" customHeight="1" thickBot="1">
      <c r="A57" s="41">
        <v>41399</v>
      </c>
      <c r="B57" s="36" t="s">
        <v>91</v>
      </c>
      <c r="C57" s="36" t="s">
        <v>101</v>
      </c>
      <c r="D57" s="36" t="s">
        <v>102</v>
      </c>
      <c r="E57" s="42" t="s">
        <v>97</v>
      </c>
      <c r="F57" s="50" t="s">
        <v>191</v>
      </c>
      <c r="G57">
        <v>9</v>
      </c>
    </row>
    <row r="58" spans="1:7" ht="17.25" customHeight="1" thickBot="1">
      <c r="A58" s="41">
        <v>41475</v>
      </c>
      <c r="B58" s="36" t="s">
        <v>140</v>
      </c>
      <c r="C58" s="36" t="s">
        <v>123</v>
      </c>
      <c r="D58" s="36" t="s">
        <v>108</v>
      </c>
      <c r="E58" s="42" t="s">
        <v>97</v>
      </c>
      <c r="F58" s="50" t="s">
        <v>191</v>
      </c>
      <c r="G58">
        <v>8</v>
      </c>
    </row>
    <row r="59" spans="1:7" ht="17.25" customHeight="1" thickBot="1">
      <c r="A59" s="41">
        <v>41482</v>
      </c>
      <c r="B59" s="36" t="s">
        <v>91</v>
      </c>
      <c r="C59" s="36" t="s">
        <v>123</v>
      </c>
      <c r="D59" s="36" t="s">
        <v>96</v>
      </c>
      <c r="E59" s="42" t="s">
        <v>97</v>
      </c>
      <c r="F59" s="50" t="s">
        <v>191</v>
      </c>
      <c r="G59">
        <v>7</v>
      </c>
    </row>
    <row r="60" spans="1:7" ht="17.25" customHeight="1" thickBot="1">
      <c r="A60" s="41">
        <v>41489</v>
      </c>
      <c r="B60" s="36" t="s">
        <v>140</v>
      </c>
      <c r="C60" s="36" t="s">
        <v>100</v>
      </c>
      <c r="D60" s="36" t="s">
        <v>153</v>
      </c>
      <c r="E60" s="42" t="s">
        <v>97</v>
      </c>
      <c r="F60" s="50" t="s">
        <v>191</v>
      </c>
      <c r="G60">
        <v>8</v>
      </c>
    </row>
    <row r="61" spans="1:7" ht="17.25" customHeight="1" thickBot="1">
      <c r="A61" s="41">
        <v>41525</v>
      </c>
      <c r="B61" s="36" t="s">
        <v>91</v>
      </c>
      <c r="C61" s="36" t="s">
        <v>134</v>
      </c>
      <c r="D61" s="36" t="s">
        <v>93</v>
      </c>
      <c r="E61" s="42" t="s">
        <v>94</v>
      </c>
      <c r="F61" s="50" t="s">
        <v>191</v>
      </c>
      <c r="G61">
        <v>9</v>
      </c>
    </row>
    <row r="62" spans="1:7" ht="17.25" customHeight="1" thickBot="1">
      <c r="A62" s="41">
        <v>41552</v>
      </c>
      <c r="B62" s="36" t="s">
        <v>91</v>
      </c>
      <c r="C62" s="36" t="s">
        <v>100</v>
      </c>
      <c r="D62" s="36" t="s">
        <v>108</v>
      </c>
      <c r="E62" s="42" t="s">
        <v>99</v>
      </c>
      <c r="F62" s="50" t="s">
        <v>191</v>
      </c>
      <c r="G62">
        <v>8</v>
      </c>
    </row>
    <row r="63" spans="1:7" ht="17.25" customHeight="1" thickBot="1">
      <c r="A63" s="41">
        <v>41434</v>
      </c>
      <c r="B63" s="36" t="s">
        <v>140</v>
      </c>
      <c r="C63" s="36" t="s">
        <v>158</v>
      </c>
      <c r="D63" s="36" t="s">
        <v>112</v>
      </c>
      <c r="E63" s="42" t="s">
        <v>97</v>
      </c>
      <c r="F63" s="50" t="s">
        <v>218</v>
      </c>
      <c r="G63">
        <v>7</v>
      </c>
    </row>
    <row r="64" spans="1:7" ht="17.25" customHeight="1" thickBot="1">
      <c r="A64" s="41">
        <v>41503</v>
      </c>
      <c r="B64" s="36" t="s">
        <v>91</v>
      </c>
      <c r="C64" s="36" t="s">
        <v>130</v>
      </c>
      <c r="D64" s="36" t="s">
        <v>112</v>
      </c>
      <c r="E64" s="42" t="s">
        <v>94</v>
      </c>
      <c r="F64" s="50" t="s">
        <v>218</v>
      </c>
      <c r="G64">
        <v>7</v>
      </c>
    </row>
    <row r="65" spans="1:7" ht="17.25" customHeight="1" thickBot="1">
      <c r="A65" s="41">
        <v>41378</v>
      </c>
      <c r="B65" s="36" t="s">
        <v>91</v>
      </c>
      <c r="C65" s="36" t="s">
        <v>143</v>
      </c>
      <c r="D65" s="36" t="s">
        <v>112</v>
      </c>
      <c r="E65" s="42" t="s">
        <v>94</v>
      </c>
      <c r="F65" s="50" t="s">
        <v>231</v>
      </c>
      <c r="G65">
        <v>7</v>
      </c>
    </row>
    <row r="66" spans="1:7" ht="17.25" customHeight="1" thickBot="1">
      <c r="A66" s="41">
        <v>41510</v>
      </c>
      <c r="B66" s="36" t="s">
        <v>91</v>
      </c>
      <c r="C66" s="36" t="s">
        <v>173</v>
      </c>
      <c r="D66" s="36" t="s">
        <v>121</v>
      </c>
      <c r="E66" s="42" t="s">
        <v>94</v>
      </c>
      <c r="F66" s="50" t="s">
        <v>79</v>
      </c>
      <c r="G66">
        <v>7</v>
      </c>
    </row>
    <row r="67" spans="1:7" ht="17.25" customHeight="1" thickBot="1">
      <c r="A67" s="41">
        <v>41455</v>
      </c>
      <c r="B67" s="36" t="s">
        <v>91</v>
      </c>
      <c r="C67" s="36" t="s">
        <v>162</v>
      </c>
      <c r="D67" s="36" t="s">
        <v>108</v>
      </c>
      <c r="E67" s="42" t="s">
        <v>97</v>
      </c>
      <c r="F67" s="50" t="s">
        <v>258</v>
      </c>
      <c r="G67">
        <v>8</v>
      </c>
    </row>
    <row r="68" spans="1:7" ht="17.25" customHeight="1" thickBot="1">
      <c r="A68" s="41">
        <v>41510</v>
      </c>
      <c r="B68" s="36" t="s">
        <v>91</v>
      </c>
      <c r="C68" s="36" t="s">
        <v>173</v>
      </c>
      <c r="D68" s="36" t="s">
        <v>121</v>
      </c>
      <c r="E68" s="42" t="s">
        <v>94</v>
      </c>
      <c r="F68" s="50" t="s">
        <v>271</v>
      </c>
      <c r="G68">
        <v>7</v>
      </c>
    </row>
    <row r="69" spans="1:7" ht="17.25" customHeight="1" thickBot="1">
      <c r="A69" s="41">
        <v>41406</v>
      </c>
      <c r="B69" s="36" t="s">
        <v>140</v>
      </c>
      <c r="C69" s="36" t="s">
        <v>137</v>
      </c>
      <c r="D69" s="36" t="s">
        <v>112</v>
      </c>
      <c r="E69" s="42" t="s">
        <v>97</v>
      </c>
      <c r="F69" s="50" t="s">
        <v>244</v>
      </c>
      <c r="G69">
        <v>8</v>
      </c>
    </row>
    <row r="70" spans="1:7" ht="17.25" customHeight="1" thickBot="1">
      <c r="A70" s="41">
        <v>41406</v>
      </c>
      <c r="B70" s="36" t="s">
        <v>91</v>
      </c>
      <c r="C70" s="36" t="s">
        <v>150</v>
      </c>
      <c r="D70" s="36" t="s">
        <v>149</v>
      </c>
      <c r="E70" s="42" t="s">
        <v>94</v>
      </c>
      <c r="F70" s="50" t="s">
        <v>238</v>
      </c>
      <c r="G70">
        <v>7</v>
      </c>
    </row>
    <row r="71" spans="1:7" ht="17.25" customHeight="1" thickBot="1">
      <c r="A71" s="41">
        <v>41406</v>
      </c>
      <c r="B71" s="36" t="s">
        <v>91</v>
      </c>
      <c r="C71" s="36" t="s">
        <v>150</v>
      </c>
      <c r="D71" s="36" t="s">
        <v>149</v>
      </c>
      <c r="E71" s="42" t="s">
        <v>94</v>
      </c>
      <c r="F71" s="50" t="s">
        <v>239</v>
      </c>
      <c r="G71">
        <v>6</v>
      </c>
    </row>
    <row r="72" spans="1:7" ht="17.25" customHeight="1" thickBot="1">
      <c r="A72" s="41">
        <v>41476</v>
      </c>
      <c r="B72" s="36" t="s">
        <v>140</v>
      </c>
      <c r="C72" s="36" t="s">
        <v>165</v>
      </c>
      <c r="D72" s="36" t="s">
        <v>121</v>
      </c>
      <c r="E72" s="42" t="s">
        <v>94</v>
      </c>
      <c r="F72" s="50" t="s">
        <v>259</v>
      </c>
      <c r="G72">
        <v>6</v>
      </c>
    </row>
    <row r="73" spans="1:7" ht="17.25" customHeight="1" thickBot="1">
      <c r="A73" s="41">
        <v>41454</v>
      </c>
      <c r="B73" s="36" t="s">
        <v>140</v>
      </c>
      <c r="C73" s="36" t="s">
        <v>161</v>
      </c>
      <c r="D73" s="36" t="s">
        <v>149</v>
      </c>
      <c r="E73" s="42" t="s">
        <v>94</v>
      </c>
      <c r="F73" s="50" t="s">
        <v>256</v>
      </c>
      <c r="G73">
        <v>7</v>
      </c>
    </row>
    <row r="74" spans="1:7" ht="17.25" customHeight="1" thickBot="1">
      <c r="A74" s="41">
        <v>41392</v>
      </c>
      <c r="B74" s="36" t="s">
        <v>140</v>
      </c>
      <c r="C74" s="36" t="s">
        <v>148</v>
      </c>
      <c r="D74" s="36" t="s">
        <v>102</v>
      </c>
      <c r="E74" s="42" t="s">
        <v>97</v>
      </c>
      <c r="F74" s="50" t="s">
        <v>67</v>
      </c>
      <c r="G74">
        <v>8</v>
      </c>
    </row>
    <row r="75" spans="1:7" ht="17.25" customHeight="1" thickBot="1">
      <c r="A75" s="41">
        <v>41454</v>
      </c>
      <c r="B75" s="36" t="s">
        <v>140</v>
      </c>
      <c r="C75" s="36" t="s">
        <v>113</v>
      </c>
      <c r="D75" s="36" t="s">
        <v>102</v>
      </c>
      <c r="E75" s="42" t="s">
        <v>97</v>
      </c>
      <c r="F75" s="50" t="s">
        <v>67</v>
      </c>
      <c r="G75">
        <v>8</v>
      </c>
    </row>
    <row r="76" spans="1:7" ht="17.25" customHeight="1" thickBot="1">
      <c r="A76" s="41">
        <v>41538</v>
      </c>
      <c r="B76" s="36" t="s">
        <v>91</v>
      </c>
      <c r="C76" s="36" t="s">
        <v>137</v>
      </c>
      <c r="D76" s="36" t="s">
        <v>102</v>
      </c>
      <c r="E76" s="42" t="s">
        <v>109</v>
      </c>
      <c r="F76" s="50" t="s">
        <v>67</v>
      </c>
      <c r="G76">
        <v>9</v>
      </c>
    </row>
    <row r="77" spans="1:7" ht="17.25" customHeight="1" thickBot="1">
      <c r="A77" s="41">
        <v>41559</v>
      </c>
      <c r="B77" s="36" t="s">
        <v>140</v>
      </c>
      <c r="C77" s="36" t="s">
        <v>143</v>
      </c>
      <c r="D77" s="36" t="s">
        <v>102</v>
      </c>
      <c r="E77" s="42" t="s">
        <v>94</v>
      </c>
      <c r="F77" s="50" t="s">
        <v>67</v>
      </c>
      <c r="G77">
        <v>9</v>
      </c>
    </row>
    <row r="78" spans="1:7" ht="17.25" customHeight="1" thickBot="1">
      <c r="A78" s="41">
        <v>41468</v>
      </c>
      <c r="B78" s="36" t="s">
        <v>91</v>
      </c>
      <c r="C78" s="36" t="s">
        <v>120</v>
      </c>
      <c r="D78" s="36" t="s">
        <v>121</v>
      </c>
      <c r="E78" s="42" t="s">
        <v>94</v>
      </c>
      <c r="F78" s="50" t="s">
        <v>203</v>
      </c>
      <c r="G78">
        <v>8</v>
      </c>
    </row>
    <row r="79" spans="1:7" ht="17.25" customHeight="1" thickBot="1">
      <c r="A79" s="41">
        <v>41454</v>
      </c>
      <c r="B79" s="36" t="s">
        <v>91</v>
      </c>
      <c r="C79" s="36" t="s">
        <v>130</v>
      </c>
      <c r="D79" s="36" t="s">
        <v>149</v>
      </c>
      <c r="E79" s="42" t="s">
        <v>94</v>
      </c>
      <c r="F79" s="50" t="s">
        <v>254</v>
      </c>
      <c r="G79">
        <v>8</v>
      </c>
    </row>
    <row r="80" spans="1:7" ht="17.25" customHeight="1" thickBot="1">
      <c r="A80" s="41">
        <v>41426</v>
      </c>
      <c r="B80" s="36" t="s">
        <v>91</v>
      </c>
      <c r="C80" s="36" t="s">
        <v>110</v>
      </c>
      <c r="D80" s="36" t="s">
        <v>102</v>
      </c>
      <c r="E80" s="42" t="s">
        <v>99</v>
      </c>
      <c r="F80" s="50" t="s">
        <v>63</v>
      </c>
      <c r="G80">
        <v>8</v>
      </c>
    </row>
    <row r="81" spans="1:7" ht="17.25" customHeight="1" thickBot="1">
      <c r="A81" s="41">
        <v>41454</v>
      </c>
      <c r="B81" s="36" t="s">
        <v>140</v>
      </c>
      <c r="C81" s="36" t="s">
        <v>161</v>
      </c>
      <c r="D81" s="36" t="s">
        <v>149</v>
      </c>
      <c r="E81" s="42" t="s">
        <v>94</v>
      </c>
      <c r="F81" s="50" t="s">
        <v>257</v>
      </c>
      <c r="G81">
        <v>7</v>
      </c>
    </row>
    <row r="82" spans="1:7" ht="17.25" customHeight="1" thickBot="1">
      <c r="A82" s="41">
        <v>41385</v>
      </c>
      <c r="B82" s="36" t="s">
        <v>91</v>
      </c>
      <c r="C82" s="36" t="s">
        <v>92</v>
      </c>
      <c r="D82" s="36" t="s">
        <v>93</v>
      </c>
      <c r="E82" s="42" t="s">
        <v>94</v>
      </c>
      <c r="F82" s="50" t="s">
        <v>187</v>
      </c>
      <c r="G82">
        <v>8</v>
      </c>
    </row>
    <row r="83" spans="1:7" ht="17.25" customHeight="1" thickBot="1">
      <c r="A83" s="41">
        <v>41489</v>
      </c>
      <c r="B83" s="36" t="s">
        <v>91</v>
      </c>
      <c r="C83" s="36" t="s">
        <v>167</v>
      </c>
      <c r="D83" s="36" t="s">
        <v>93</v>
      </c>
      <c r="E83" s="42" t="s">
        <v>97</v>
      </c>
      <c r="F83" s="50" t="s">
        <v>187</v>
      </c>
      <c r="G83">
        <v>8</v>
      </c>
    </row>
    <row r="84" spans="1:7" ht="17.25" customHeight="1" thickBot="1">
      <c r="A84" s="41">
        <v>41496</v>
      </c>
      <c r="B84" s="36" t="s">
        <v>91</v>
      </c>
      <c r="C84" s="36" t="s">
        <v>126</v>
      </c>
      <c r="D84" s="36" t="s">
        <v>104</v>
      </c>
      <c r="E84" s="42" t="s">
        <v>105</v>
      </c>
      <c r="F84" s="50" t="s">
        <v>214</v>
      </c>
      <c r="G84">
        <v>2</v>
      </c>
    </row>
    <row r="85" spans="1:7" ht="17.25" customHeight="1" thickBot="1">
      <c r="A85" s="41">
        <v>41539</v>
      </c>
      <c r="B85" s="36" t="s">
        <v>91</v>
      </c>
      <c r="C85" s="36" t="s">
        <v>127</v>
      </c>
      <c r="D85" s="36" t="s">
        <v>121</v>
      </c>
      <c r="E85" s="42" t="s">
        <v>97</v>
      </c>
      <c r="F85" s="50" t="s">
        <v>273</v>
      </c>
      <c r="G85">
        <v>7</v>
      </c>
    </row>
    <row r="86" spans="1:7" ht="17.25" customHeight="1" thickBot="1">
      <c r="A86" s="41">
        <v>41490</v>
      </c>
      <c r="B86" s="36" t="s">
        <v>140</v>
      </c>
      <c r="C86" s="36" t="s">
        <v>171</v>
      </c>
      <c r="D86" s="36" t="s">
        <v>121</v>
      </c>
      <c r="E86" s="42" t="s">
        <v>105</v>
      </c>
      <c r="F86" s="50" t="s">
        <v>265</v>
      </c>
      <c r="G86">
        <v>8</v>
      </c>
    </row>
    <row r="87" spans="1:7" ht="17.25" customHeight="1" thickBot="1">
      <c r="A87" s="41">
        <v>41525</v>
      </c>
      <c r="B87" s="36" t="s">
        <v>140</v>
      </c>
      <c r="C87" s="36" t="s">
        <v>182</v>
      </c>
      <c r="D87" s="36" t="s">
        <v>144</v>
      </c>
      <c r="E87" s="42" t="s">
        <v>99</v>
      </c>
      <c r="F87" s="50" t="s">
        <v>276</v>
      </c>
    </row>
    <row r="88" spans="1:7" ht="17.25" customHeight="1" thickBot="1">
      <c r="A88" s="41">
        <v>41525</v>
      </c>
      <c r="B88" s="36" t="s">
        <v>140</v>
      </c>
      <c r="C88" s="36" t="s">
        <v>182</v>
      </c>
      <c r="D88" s="36" t="s">
        <v>144</v>
      </c>
      <c r="E88" s="42" t="s">
        <v>99</v>
      </c>
      <c r="F88" s="50" t="s">
        <v>276</v>
      </c>
    </row>
    <row r="89" spans="1:7" ht="17.25" customHeight="1" thickBot="1">
      <c r="A89" s="41">
        <v>41546</v>
      </c>
      <c r="B89" s="36" t="s">
        <v>180</v>
      </c>
      <c r="C89" s="36" t="s">
        <v>146</v>
      </c>
      <c r="D89" s="36" t="s">
        <v>181</v>
      </c>
      <c r="E89" s="42" t="s">
        <v>94</v>
      </c>
      <c r="F89" s="50" t="s">
        <v>276</v>
      </c>
    </row>
    <row r="90" spans="1:7" ht="17.25" customHeight="1" thickBot="1">
      <c r="A90" s="41">
        <v>41546</v>
      </c>
      <c r="B90" s="36" t="s">
        <v>183</v>
      </c>
      <c r="C90" s="36" t="s">
        <v>184</v>
      </c>
      <c r="D90" s="36" t="s">
        <v>149</v>
      </c>
      <c r="E90" s="42" t="s">
        <v>105</v>
      </c>
      <c r="F90" s="50" t="s">
        <v>276</v>
      </c>
    </row>
    <row r="91" spans="1:7" ht="17.25" customHeight="1" thickBot="1">
      <c r="A91" s="41">
        <v>41546</v>
      </c>
      <c r="B91" s="36" t="s">
        <v>183</v>
      </c>
      <c r="C91" s="36" t="s">
        <v>184</v>
      </c>
      <c r="D91" s="36" t="s">
        <v>149</v>
      </c>
      <c r="E91" s="42" t="s">
        <v>105</v>
      </c>
      <c r="F91" s="50" t="s">
        <v>276</v>
      </c>
    </row>
    <row r="92" spans="1:7" ht="17.25" customHeight="1" thickBot="1">
      <c r="A92" s="41">
        <v>41559</v>
      </c>
      <c r="B92" s="36" t="s">
        <v>183</v>
      </c>
      <c r="C92" s="36" t="s">
        <v>185</v>
      </c>
      <c r="D92" s="36" t="s">
        <v>121</v>
      </c>
      <c r="E92" s="42" t="s">
        <v>99</v>
      </c>
      <c r="F92" s="50" t="s">
        <v>276</v>
      </c>
    </row>
    <row r="93" spans="1:7" ht="17.25" customHeight="1" thickBot="1">
      <c r="A93" s="41">
        <v>41559</v>
      </c>
      <c r="B93" s="36" t="s">
        <v>183</v>
      </c>
      <c r="C93" s="36" t="s">
        <v>185</v>
      </c>
      <c r="D93" s="36" t="s">
        <v>121</v>
      </c>
      <c r="E93" s="42" t="s">
        <v>99</v>
      </c>
      <c r="F93" s="50" t="s">
        <v>276</v>
      </c>
    </row>
    <row r="94" spans="1:7" ht="17.25" customHeight="1" thickBot="1">
      <c r="A94" s="41">
        <v>41566</v>
      </c>
      <c r="B94" s="36" t="s">
        <v>180</v>
      </c>
      <c r="C94" s="36" t="s">
        <v>159</v>
      </c>
      <c r="D94" s="36" t="s">
        <v>144</v>
      </c>
      <c r="E94" s="42" t="s">
        <v>94</v>
      </c>
      <c r="F94" s="50" t="s">
        <v>276</v>
      </c>
    </row>
    <row r="95" spans="1:7" ht="17.25" customHeight="1" thickBot="1">
      <c r="A95" s="41">
        <v>41566</v>
      </c>
      <c r="B95" s="36" t="s">
        <v>180</v>
      </c>
      <c r="C95" s="36" t="s">
        <v>159</v>
      </c>
      <c r="D95" s="36" t="s">
        <v>144</v>
      </c>
      <c r="E95" s="42" t="s">
        <v>94</v>
      </c>
      <c r="F95" s="50" t="s">
        <v>276</v>
      </c>
    </row>
    <row r="96" spans="1:7" ht="17.25" customHeight="1" thickBot="1">
      <c r="A96" s="41">
        <v>41567</v>
      </c>
      <c r="B96" s="36" t="s">
        <v>140</v>
      </c>
      <c r="C96" s="36" t="s">
        <v>184</v>
      </c>
      <c r="D96" s="36" t="s">
        <v>149</v>
      </c>
      <c r="E96" s="42" t="s">
        <v>94</v>
      </c>
      <c r="F96" s="50" t="s">
        <v>276</v>
      </c>
    </row>
    <row r="97" spans="1:7" ht="17.25" customHeight="1" thickBot="1">
      <c r="A97" s="41">
        <v>41567</v>
      </c>
      <c r="B97" s="36" t="s">
        <v>140</v>
      </c>
      <c r="C97" s="36" t="s">
        <v>184</v>
      </c>
      <c r="D97" s="36" t="s">
        <v>149</v>
      </c>
      <c r="E97" s="42" t="s">
        <v>94</v>
      </c>
      <c r="F97" s="50" t="s">
        <v>276</v>
      </c>
    </row>
    <row r="98" spans="1:7" ht="17.25" customHeight="1" thickBot="1">
      <c r="A98" s="41">
        <v>41406</v>
      </c>
      <c r="B98" s="36" t="s">
        <v>140</v>
      </c>
      <c r="C98" s="36" t="s">
        <v>137</v>
      </c>
      <c r="D98" s="36" t="s">
        <v>112</v>
      </c>
      <c r="E98" s="42" t="s">
        <v>97</v>
      </c>
      <c r="F98" s="50" t="s">
        <v>64</v>
      </c>
      <c r="G98">
        <v>8</v>
      </c>
    </row>
    <row r="99" spans="1:7" ht="17.25" customHeight="1" thickBot="1">
      <c r="A99" s="41">
        <v>41560</v>
      </c>
      <c r="B99" s="36" t="s">
        <v>140</v>
      </c>
      <c r="C99" s="36" t="s">
        <v>125</v>
      </c>
      <c r="D99" s="36" t="s">
        <v>112</v>
      </c>
      <c r="E99" s="42" t="s">
        <v>97</v>
      </c>
      <c r="F99" s="50" t="s">
        <v>64</v>
      </c>
      <c r="G99">
        <v>8</v>
      </c>
    </row>
    <row r="100" spans="1:7" ht="17.25" customHeight="1">
      <c r="A100" s="43">
        <v>41489</v>
      </c>
      <c r="B100" s="44" t="s">
        <v>91</v>
      </c>
      <c r="C100" s="44" t="s">
        <v>168</v>
      </c>
      <c r="D100" s="44" t="s">
        <v>149</v>
      </c>
      <c r="E100" s="45" t="s">
        <v>105</v>
      </c>
      <c r="F100" s="50" t="s">
        <v>264</v>
      </c>
      <c r="G100">
        <v>7</v>
      </c>
    </row>
    <row r="101" spans="1:7" ht="17.25" customHeight="1" thickBot="1">
      <c r="A101" s="51">
        <v>41434</v>
      </c>
      <c r="B101" s="53" t="s">
        <v>91</v>
      </c>
      <c r="C101" s="53" t="s">
        <v>156</v>
      </c>
      <c r="D101" s="53" t="s">
        <v>144</v>
      </c>
      <c r="E101" s="55" t="s">
        <v>105</v>
      </c>
      <c r="F101" s="50" t="s">
        <v>252</v>
      </c>
      <c r="G101">
        <v>9</v>
      </c>
    </row>
    <row r="102" spans="1:7" ht="17.25" customHeight="1" thickBot="1">
      <c r="A102" s="41">
        <v>41468</v>
      </c>
      <c r="B102" s="36" t="s">
        <v>91</v>
      </c>
      <c r="C102" s="36" t="s">
        <v>120</v>
      </c>
      <c r="D102" s="36" t="s">
        <v>121</v>
      </c>
      <c r="E102" s="42" t="s">
        <v>94</v>
      </c>
      <c r="F102" s="50" t="s">
        <v>204</v>
      </c>
      <c r="G102">
        <v>8</v>
      </c>
    </row>
    <row r="103" spans="1:7" ht="17.25" customHeight="1" thickBot="1">
      <c r="A103" s="41">
        <v>41510</v>
      </c>
      <c r="B103" s="36" t="s">
        <v>91</v>
      </c>
      <c r="C103" s="36" t="s">
        <v>172</v>
      </c>
      <c r="D103" s="36" t="s">
        <v>93</v>
      </c>
      <c r="E103" s="42" t="s">
        <v>97</v>
      </c>
      <c r="F103" s="50" t="s">
        <v>268</v>
      </c>
      <c r="G103">
        <v>8</v>
      </c>
    </row>
    <row r="104" spans="1:7" ht="17.25" customHeight="1" thickBot="1">
      <c r="A104" s="41">
        <v>41490</v>
      </c>
      <c r="B104" s="36" t="s">
        <v>140</v>
      </c>
      <c r="C104" s="36" t="s">
        <v>171</v>
      </c>
      <c r="D104" s="36" t="s">
        <v>121</v>
      </c>
      <c r="E104" s="42" t="s">
        <v>105</v>
      </c>
      <c r="F104" s="50" t="s">
        <v>266</v>
      </c>
      <c r="G104">
        <v>8</v>
      </c>
    </row>
    <row r="105" spans="1:7" ht="17.25" customHeight="1" thickBot="1">
      <c r="A105" s="41">
        <v>41511</v>
      </c>
      <c r="B105" s="36" t="s">
        <v>91</v>
      </c>
      <c r="C105" s="36" t="s">
        <v>176</v>
      </c>
      <c r="D105" s="36" t="s">
        <v>153</v>
      </c>
      <c r="E105" s="42" t="s">
        <v>105</v>
      </c>
      <c r="F105" s="50" t="s">
        <v>272</v>
      </c>
      <c r="G105">
        <v>6</v>
      </c>
    </row>
    <row r="106" spans="1:7" ht="17.25" customHeight="1" thickBot="1">
      <c r="A106" s="41">
        <v>41413</v>
      </c>
      <c r="B106" s="36" t="s">
        <v>91</v>
      </c>
      <c r="C106" s="36" t="s">
        <v>107</v>
      </c>
      <c r="D106" s="36" t="s">
        <v>108</v>
      </c>
      <c r="E106" s="42" t="s">
        <v>109</v>
      </c>
      <c r="F106" s="50" t="s">
        <v>74</v>
      </c>
      <c r="G106">
        <v>8</v>
      </c>
    </row>
    <row r="107" spans="1:7" ht="17.25" customHeight="1" thickBot="1">
      <c r="A107" s="41">
        <v>41483</v>
      </c>
      <c r="B107" s="36" t="s">
        <v>91</v>
      </c>
      <c r="C107" s="36" t="s">
        <v>125</v>
      </c>
      <c r="D107" s="36" t="s">
        <v>121</v>
      </c>
      <c r="E107" s="42" t="s">
        <v>97</v>
      </c>
      <c r="F107" s="50" t="s">
        <v>211</v>
      </c>
      <c r="G107">
        <v>7</v>
      </c>
    </row>
    <row r="108" spans="1:7" ht="17.25" customHeight="1" thickBot="1">
      <c r="A108" s="41">
        <v>41476</v>
      </c>
      <c r="B108" s="36" t="s">
        <v>140</v>
      </c>
      <c r="C108" s="36" t="s">
        <v>166</v>
      </c>
      <c r="D108" s="36" t="s">
        <v>153</v>
      </c>
      <c r="E108" s="42" t="s">
        <v>97</v>
      </c>
      <c r="F108" s="50" t="s">
        <v>263</v>
      </c>
      <c r="G108">
        <v>7</v>
      </c>
    </row>
    <row r="109" spans="1:7" ht="17.25" customHeight="1" thickBot="1">
      <c r="A109" s="41">
        <v>41489</v>
      </c>
      <c r="B109" s="36" t="s">
        <v>140</v>
      </c>
      <c r="C109" s="36" t="s">
        <v>100</v>
      </c>
      <c r="D109" s="36" t="s">
        <v>153</v>
      </c>
      <c r="E109" s="42" t="s">
        <v>97</v>
      </c>
      <c r="F109" s="50" t="s">
        <v>263</v>
      </c>
      <c r="G109">
        <v>8</v>
      </c>
    </row>
    <row r="110" spans="1:7" ht="17.25" customHeight="1" thickBot="1">
      <c r="A110" s="41">
        <v>41391</v>
      </c>
      <c r="B110" s="36" t="s">
        <v>140</v>
      </c>
      <c r="C110" s="36" t="s">
        <v>146</v>
      </c>
      <c r="D110" s="36" t="s">
        <v>108</v>
      </c>
      <c r="E110" s="42" t="s">
        <v>94</v>
      </c>
      <c r="F110" s="50" t="s">
        <v>84</v>
      </c>
      <c r="G110">
        <v>9</v>
      </c>
    </row>
    <row r="111" spans="1:7" ht="17.25" customHeight="1" thickBot="1">
      <c r="A111" s="41">
        <v>41560</v>
      </c>
      <c r="B111" s="36" t="s">
        <v>91</v>
      </c>
      <c r="C111" s="36" t="s">
        <v>123</v>
      </c>
      <c r="D111" s="36" t="s">
        <v>96</v>
      </c>
      <c r="E111" s="42" t="s">
        <v>97</v>
      </c>
      <c r="F111" s="50" t="s">
        <v>84</v>
      </c>
      <c r="G111">
        <v>7</v>
      </c>
    </row>
    <row r="112" spans="1:7" ht="17.25" customHeight="1" thickBot="1">
      <c r="A112" s="41">
        <v>41391</v>
      </c>
      <c r="B112" s="36" t="s">
        <v>91</v>
      </c>
      <c r="C112" s="36" t="s">
        <v>98</v>
      </c>
      <c r="D112" s="36" t="s">
        <v>93</v>
      </c>
      <c r="E112" s="42" t="s">
        <v>99</v>
      </c>
      <c r="F112" s="50" t="s">
        <v>189</v>
      </c>
      <c r="G112">
        <v>8</v>
      </c>
    </row>
    <row r="113" spans="1:7" ht="17.25" customHeight="1" thickBot="1">
      <c r="A113" s="41">
        <v>41426</v>
      </c>
      <c r="B113" s="36" t="s">
        <v>91</v>
      </c>
      <c r="C113" s="36" t="s">
        <v>110</v>
      </c>
      <c r="D113" s="36" t="s">
        <v>102</v>
      </c>
      <c r="E113" s="42" t="s">
        <v>99</v>
      </c>
      <c r="F113" s="50" t="s">
        <v>194</v>
      </c>
      <c r="G113">
        <v>8</v>
      </c>
    </row>
    <row r="114" spans="1:7" ht="17.25" customHeight="1" thickBot="1">
      <c r="A114" s="41">
        <v>41406</v>
      </c>
      <c r="B114" s="36" t="s">
        <v>91</v>
      </c>
      <c r="C114" s="36" t="s">
        <v>119</v>
      </c>
      <c r="D114" s="36" t="s">
        <v>96</v>
      </c>
      <c r="E114" s="42" t="s">
        <v>97</v>
      </c>
      <c r="F114" s="50" t="s">
        <v>240</v>
      </c>
      <c r="G114">
        <v>8</v>
      </c>
    </row>
    <row r="115" spans="1:7" ht="17.25" customHeight="1" thickBot="1">
      <c r="A115" s="41">
        <v>41434</v>
      </c>
      <c r="B115" s="36" t="s">
        <v>140</v>
      </c>
      <c r="C115" s="36" t="s">
        <v>159</v>
      </c>
      <c r="D115" s="36" t="s">
        <v>96</v>
      </c>
      <c r="E115" s="42" t="s">
        <v>94</v>
      </c>
      <c r="F115" s="50" t="s">
        <v>240</v>
      </c>
      <c r="G115">
        <v>7</v>
      </c>
    </row>
    <row r="116" spans="1:7" ht="17.25" customHeight="1" thickBot="1">
      <c r="A116" s="41">
        <v>41525</v>
      </c>
      <c r="B116" s="36" t="s">
        <v>91</v>
      </c>
      <c r="C116" s="36" t="s">
        <v>134</v>
      </c>
      <c r="D116" s="36" t="s">
        <v>93</v>
      </c>
      <c r="E116" s="42" t="s">
        <v>94</v>
      </c>
      <c r="F116" s="50" t="s">
        <v>219</v>
      </c>
      <c r="G116">
        <v>8</v>
      </c>
    </row>
    <row r="117" spans="1:7" ht="17.25" customHeight="1" thickBot="1">
      <c r="A117" s="41">
        <v>41392</v>
      </c>
      <c r="B117" s="36" t="s">
        <v>91</v>
      </c>
      <c r="C117" s="36" t="s">
        <v>147</v>
      </c>
      <c r="D117" s="36" t="s">
        <v>93</v>
      </c>
      <c r="E117" s="42" t="s">
        <v>97</v>
      </c>
      <c r="F117" s="50" t="s">
        <v>237</v>
      </c>
      <c r="G117">
        <v>9</v>
      </c>
    </row>
    <row r="118" spans="1:7" ht="17.25" customHeight="1" thickBot="1">
      <c r="A118" s="41">
        <v>41391</v>
      </c>
      <c r="B118" s="36" t="s">
        <v>91</v>
      </c>
      <c r="C118" s="36" t="s">
        <v>98</v>
      </c>
      <c r="D118" s="36" t="s">
        <v>93</v>
      </c>
      <c r="E118" s="42" t="s">
        <v>99</v>
      </c>
      <c r="F118" s="50" t="s">
        <v>190</v>
      </c>
      <c r="G118">
        <v>8</v>
      </c>
    </row>
    <row r="119" spans="1:7" ht="17.25" customHeight="1" thickBot="1">
      <c r="A119" s="41">
        <v>41510</v>
      </c>
      <c r="B119" s="36" t="s">
        <v>91</v>
      </c>
      <c r="C119" s="36" t="s">
        <v>172</v>
      </c>
      <c r="D119" s="36" t="s">
        <v>93</v>
      </c>
      <c r="E119" s="42" t="s">
        <v>97</v>
      </c>
      <c r="F119" s="50" t="s">
        <v>190</v>
      </c>
      <c r="G119">
        <v>8</v>
      </c>
    </row>
    <row r="120" spans="1:7" ht="17.25" customHeight="1" thickBot="1">
      <c r="A120" s="41">
        <v>41412</v>
      </c>
      <c r="B120" s="36" t="s">
        <v>91</v>
      </c>
      <c r="C120" s="36" t="s">
        <v>103</v>
      </c>
      <c r="D120" s="36" t="s">
        <v>104</v>
      </c>
      <c r="E120" s="42" t="s">
        <v>105</v>
      </c>
      <c r="F120" s="50" t="s">
        <v>192</v>
      </c>
      <c r="G120">
        <v>9</v>
      </c>
    </row>
    <row r="121" spans="1:7" ht="17.25" customHeight="1" thickBot="1">
      <c r="A121" s="41">
        <v>41490</v>
      </c>
      <c r="B121" s="36" t="s">
        <v>91</v>
      </c>
      <c r="C121" s="36" t="s">
        <v>170</v>
      </c>
      <c r="D121" s="36" t="s">
        <v>112</v>
      </c>
      <c r="E121" s="42" t="s">
        <v>105</v>
      </c>
      <c r="F121" s="50" t="s">
        <v>192</v>
      </c>
      <c r="G121">
        <v>9</v>
      </c>
    </row>
    <row r="122" spans="1:7" ht="17.25" customHeight="1" thickBot="1">
      <c r="A122" s="41">
        <v>41567</v>
      </c>
      <c r="B122" s="36" t="s">
        <v>180</v>
      </c>
      <c r="C122" s="36" t="s">
        <v>127</v>
      </c>
      <c r="D122" s="36" t="s">
        <v>181</v>
      </c>
      <c r="E122" s="42" t="s">
        <v>97</v>
      </c>
      <c r="F122" s="50" t="s">
        <v>192</v>
      </c>
      <c r="G122">
        <v>8</v>
      </c>
    </row>
    <row r="123" spans="1:7" ht="17.25" customHeight="1" thickBot="1">
      <c r="A123" s="41">
        <v>41496</v>
      </c>
      <c r="B123" s="36" t="s">
        <v>91</v>
      </c>
      <c r="C123" s="36" t="s">
        <v>127</v>
      </c>
      <c r="D123" s="36" t="s">
        <v>121</v>
      </c>
      <c r="E123" s="42" t="s">
        <v>97</v>
      </c>
      <c r="F123" s="50" t="s">
        <v>69</v>
      </c>
      <c r="G123">
        <v>7</v>
      </c>
    </row>
    <row r="124" spans="1:7" ht="17.25" customHeight="1" thickBot="1">
      <c r="A124" s="41">
        <v>41427</v>
      </c>
      <c r="B124" s="36" t="s">
        <v>91</v>
      </c>
      <c r="C124" s="36" t="s">
        <v>111</v>
      </c>
      <c r="D124" s="36" t="s">
        <v>112</v>
      </c>
      <c r="E124" s="42" t="s">
        <v>97</v>
      </c>
      <c r="F124" s="50" t="s">
        <v>195</v>
      </c>
      <c r="G124">
        <v>9</v>
      </c>
    </row>
    <row r="125" spans="1:7" ht="17.25" customHeight="1" thickBot="1">
      <c r="A125" s="41">
        <v>41503</v>
      </c>
      <c r="B125" s="36" t="s">
        <v>91</v>
      </c>
      <c r="C125" s="36" t="s">
        <v>130</v>
      </c>
      <c r="D125" s="36" t="s">
        <v>112</v>
      </c>
      <c r="E125" s="42" t="s">
        <v>94</v>
      </c>
      <c r="F125" s="50" t="s">
        <v>195</v>
      </c>
      <c r="G125">
        <v>8</v>
      </c>
    </row>
    <row r="126" spans="1:7" ht="17.25" customHeight="1" thickBot="1">
      <c r="A126" s="41">
        <v>41482</v>
      </c>
      <c r="B126" s="36" t="s">
        <v>91</v>
      </c>
      <c r="C126" s="36" t="s">
        <v>124</v>
      </c>
      <c r="D126" s="36" t="s">
        <v>104</v>
      </c>
      <c r="E126" s="42" t="s">
        <v>109</v>
      </c>
      <c r="F126" s="50" t="s">
        <v>209</v>
      </c>
      <c r="G126">
        <v>8</v>
      </c>
    </row>
    <row r="127" spans="1:7" ht="17.25" customHeight="1" thickBot="1">
      <c r="A127" s="41">
        <v>41476</v>
      </c>
      <c r="B127" s="36" t="s">
        <v>91</v>
      </c>
      <c r="C127" s="36" t="s">
        <v>163</v>
      </c>
      <c r="D127" s="36" t="s">
        <v>144</v>
      </c>
      <c r="E127" s="42" t="s">
        <v>97</v>
      </c>
      <c r="F127" s="50" t="s">
        <v>262</v>
      </c>
      <c r="G127">
        <v>8</v>
      </c>
    </row>
    <row r="128" spans="1:7" ht="17.25" customHeight="1" thickBot="1">
      <c r="A128" s="41">
        <v>41377</v>
      </c>
      <c r="B128" s="36" t="s">
        <v>141</v>
      </c>
      <c r="C128" s="36" t="s">
        <v>142</v>
      </c>
      <c r="D128" s="36" t="s">
        <v>121</v>
      </c>
      <c r="E128" s="42" t="s">
        <v>94</v>
      </c>
      <c r="F128" s="50" t="s">
        <v>227</v>
      </c>
      <c r="G128">
        <v>5.5</v>
      </c>
    </row>
    <row r="129" spans="1:7" ht="17.25" customHeight="1" thickBot="1">
      <c r="A129" s="41">
        <v>41454</v>
      </c>
      <c r="B129" s="36" t="s">
        <v>91</v>
      </c>
      <c r="C129" s="36" t="s">
        <v>130</v>
      </c>
      <c r="D129" s="36" t="s">
        <v>149</v>
      </c>
      <c r="E129" s="42" t="s">
        <v>94</v>
      </c>
      <c r="F129" s="50" t="s">
        <v>255</v>
      </c>
      <c r="G129">
        <v>8</v>
      </c>
    </row>
    <row r="130" spans="1:7" ht="17.25" customHeight="1" thickBot="1">
      <c r="A130" s="41">
        <v>41377</v>
      </c>
      <c r="B130" s="36" t="s">
        <v>140</v>
      </c>
      <c r="C130" s="36" t="s">
        <v>133</v>
      </c>
      <c r="D130" s="36" t="s">
        <v>96</v>
      </c>
      <c r="E130" s="42" t="s">
        <v>109</v>
      </c>
      <c r="F130" s="50" t="s">
        <v>72</v>
      </c>
      <c r="G130">
        <v>7</v>
      </c>
    </row>
    <row r="131" spans="1:7" ht="17.25" customHeight="1" thickBot="1">
      <c r="A131" s="41">
        <v>41476</v>
      </c>
      <c r="B131" s="36" t="s">
        <v>91</v>
      </c>
      <c r="C131" s="36" t="s">
        <v>164</v>
      </c>
      <c r="D131" s="36" t="s">
        <v>96</v>
      </c>
      <c r="E131" s="42" t="s">
        <v>94</v>
      </c>
      <c r="F131" s="50" t="s">
        <v>72</v>
      </c>
      <c r="G131">
        <v>9</v>
      </c>
    </row>
    <row r="132" spans="1:7" ht="17.25" customHeight="1" thickBot="1">
      <c r="A132" s="41">
        <v>41539</v>
      </c>
      <c r="B132" s="36" t="s">
        <v>91</v>
      </c>
      <c r="C132" s="36" t="s">
        <v>138</v>
      </c>
      <c r="D132" s="36" t="s">
        <v>96</v>
      </c>
      <c r="E132" s="42" t="s">
        <v>109</v>
      </c>
      <c r="F132" s="50" t="s">
        <v>72</v>
      </c>
      <c r="G132">
        <v>8</v>
      </c>
    </row>
    <row r="133" spans="1:7" ht="17.25" customHeight="1" thickBot="1">
      <c r="A133" s="41">
        <v>41567</v>
      </c>
      <c r="B133" s="36" t="s">
        <v>91</v>
      </c>
      <c r="C133" s="36" t="s">
        <v>152</v>
      </c>
      <c r="D133" s="36" t="s">
        <v>96</v>
      </c>
      <c r="E133" s="42" t="s">
        <v>94</v>
      </c>
      <c r="F133" s="50" t="s">
        <v>72</v>
      </c>
    </row>
    <row r="134" spans="1:7" ht="17.25" customHeight="1" thickBot="1">
      <c r="A134" s="41">
        <v>41391</v>
      </c>
      <c r="B134" s="36" t="s">
        <v>140</v>
      </c>
      <c r="C134" s="36" t="s">
        <v>146</v>
      </c>
      <c r="D134" s="36" t="s">
        <v>108</v>
      </c>
      <c r="E134" s="42" t="s">
        <v>94</v>
      </c>
      <c r="F134" s="50" t="s">
        <v>82</v>
      </c>
      <c r="G134">
        <v>9</v>
      </c>
    </row>
    <row r="135" spans="1:7" ht="17.25" customHeight="1" thickBot="1">
      <c r="A135" s="41">
        <v>41441</v>
      </c>
      <c r="B135" s="36" t="s">
        <v>91</v>
      </c>
      <c r="C135" s="36" t="s">
        <v>114</v>
      </c>
      <c r="D135" s="36" t="s">
        <v>108</v>
      </c>
      <c r="E135" s="42" t="s">
        <v>94</v>
      </c>
      <c r="F135" s="50" t="s">
        <v>82</v>
      </c>
      <c r="G135">
        <v>8</v>
      </c>
    </row>
    <row r="136" spans="1:7" ht="17.25" customHeight="1" thickBot="1">
      <c r="A136" s="41">
        <v>41399</v>
      </c>
      <c r="B136" s="36" t="s">
        <v>91</v>
      </c>
      <c r="C136" s="36" t="s">
        <v>101</v>
      </c>
      <c r="D136" s="36" t="s">
        <v>102</v>
      </c>
      <c r="E136" s="42" t="s">
        <v>97</v>
      </c>
      <c r="F136" s="50" t="s">
        <v>78</v>
      </c>
      <c r="G136">
        <v>9</v>
      </c>
    </row>
    <row r="137" spans="1:7" ht="17.25" customHeight="1" thickBot="1">
      <c r="A137" s="41">
        <v>41427</v>
      </c>
      <c r="B137" s="36" t="s">
        <v>91</v>
      </c>
      <c r="C137" s="36" t="s">
        <v>111</v>
      </c>
      <c r="D137" s="36" t="s">
        <v>112</v>
      </c>
      <c r="E137" s="42" t="s">
        <v>97</v>
      </c>
      <c r="F137" s="50" t="s">
        <v>78</v>
      </c>
      <c r="G137">
        <v>9</v>
      </c>
    </row>
    <row r="138" spans="1:7" ht="17.25" customHeight="1" thickBot="1">
      <c r="A138" s="41">
        <v>41454</v>
      </c>
      <c r="B138" s="36" t="s">
        <v>140</v>
      </c>
      <c r="C138" s="36" t="s">
        <v>113</v>
      </c>
      <c r="D138" s="36" t="s">
        <v>102</v>
      </c>
      <c r="E138" s="42" t="s">
        <v>97</v>
      </c>
      <c r="F138" s="50" t="s">
        <v>78</v>
      </c>
      <c r="G138">
        <v>8</v>
      </c>
    </row>
    <row r="139" spans="1:7" ht="17.25" customHeight="1" thickBot="1">
      <c r="A139" s="41">
        <v>41538</v>
      </c>
      <c r="B139" s="36" t="s">
        <v>91</v>
      </c>
      <c r="C139" s="36" t="s">
        <v>137</v>
      </c>
      <c r="D139" s="36" t="s">
        <v>102</v>
      </c>
      <c r="E139" s="42" t="s">
        <v>109</v>
      </c>
      <c r="F139" s="50" t="s">
        <v>78</v>
      </c>
      <c r="G139">
        <v>7</v>
      </c>
    </row>
    <row r="140" spans="1:7" ht="17.25" customHeight="1" thickBot="1">
      <c r="A140" s="41">
        <v>41553</v>
      </c>
      <c r="B140" s="36" t="s">
        <v>91</v>
      </c>
      <c r="C140" s="36" t="s">
        <v>119</v>
      </c>
      <c r="D140" s="36" t="s">
        <v>93</v>
      </c>
      <c r="E140" s="42" t="s">
        <v>97</v>
      </c>
      <c r="F140" s="50" t="s">
        <v>78</v>
      </c>
      <c r="G140">
        <v>9</v>
      </c>
    </row>
    <row r="141" spans="1:7" ht="17.25" customHeight="1">
      <c r="A141" s="43">
        <v>41560</v>
      </c>
      <c r="B141" s="44" t="s">
        <v>140</v>
      </c>
      <c r="C141" s="44" t="s">
        <v>125</v>
      </c>
      <c r="D141" s="44" t="s">
        <v>112</v>
      </c>
      <c r="E141" s="45" t="s">
        <v>97</v>
      </c>
      <c r="F141" s="50" t="s">
        <v>78</v>
      </c>
      <c r="G141">
        <v>8</v>
      </c>
    </row>
    <row r="142" spans="1:7" ht="17.25" customHeight="1" thickBot="1">
      <c r="A142" s="46">
        <v>41503</v>
      </c>
      <c r="B142" s="47" t="s">
        <v>91</v>
      </c>
      <c r="C142" s="47" t="s">
        <v>131</v>
      </c>
      <c r="D142" s="47" t="s">
        <v>108</v>
      </c>
      <c r="E142" s="48" t="s">
        <v>97</v>
      </c>
      <c r="F142" s="50" t="s">
        <v>216</v>
      </c>
      <c r="G142">
        <v>9</v>
      </c>
    </row>
    <row r="143" spans="1:7" ht="17.25" customHeight="1" thickBot="1">
      <c r="A143" s="41">
        <v>41510</v>
      </c>
      <c r="B143" s="36" t="s">
        <v>140</v>
      </c>
      <c r="C143" s="36" t="s">
        <v>175</v>
      </c>
      <c r="D143" s="36" t="s">
        <v>108</v>
      </c>
      <c r="E143" s="42" t="s">
        <v>97</v>
      </c>
      <c r="F143" s="50" t="s">
        <v>216</v>
      </c>
      <c r="G143">
        <v>9</v>
      </c>
    </row>
    <row r="144" spans="1:7" ht="17.25" customHeight="1" thickBot="1">
      <c r="A144" s="41">
        <v>41469</v>
      </c>
      <c r="B144" s="36" t="s">
        <v>91</v>
      </c>
      <c r="C144" s="36" t="s">
        <v>122</v>
      </c>
      <c r="D144" s="36" t="s">
        <v>112</v>
      </c>
      <c r="E144" s="42" t="s">
        <v>97</v>
      </c>
      <c r="F144" s="50" t="s">
        <v>208</v>
      </c>
      <c r="G144">
        <v>7</v>
      </c>
    </row>
    <row r="145" spans="1:7" ht="17.25" customHeight="1" thickBot="1">
      <c r="A145" s="41">
        <v>41539</v>
      </c>
      <c r="B145" s="36" t="s">
        <v>91</v>
      </c>
      <c r="C145" s="36" t="s">
        <v>127</v>
      </c>
      <c r="D145" s="36" t="s">
        <v>121</v>
      </c>
      <c r="E145" s="42" t="s">
        <v>97</v>
      </c>
      <c r="F145" s="50" t="s">
        <v>221</v>
      </c>
      <c r="G145">
        <v>7</v>
      </c>
    </row>
    <row r="146" spans="1:7" ht="17.25" customHeight="1" thickBot="1">
      <c r="A146" s="41">
        <v>41546</v>
      </c>
      <c r="B146" s="36" t="s">
        <v>91</v>
      </c>
      <c r="C146" s="36" t="s">
        <v>139</v>
      </c>
      <c r="D146" s="36" t="s">
        <v>121</v>
      </c>
      <c r="E146" s="42" t="s">
        <v>97</v>
      </c>
      <c r="F146" s="50" t="s">
        <v>221</v>
      </c>
      <c r="G146">
        <v>5</v>
      </c>
    </row>
    <row r="147" spans="1:7" ht="17.25" customHeight="1" thickBot="1">
      <c r="A147" s="41">
        <v>41391</v>
      </c>
      <c r="B147" s="36" t="s">
        <v>91</v>
      </c>
      <c r="C147" s="36" t="s">
        <v>145</v>
      </c>
      <c r="D147" s="36" t="s">
        <v>144</v>
      </c>
      <c r="E147" s="42" t="s">
        <v>94</v>
      </c>
      <c r="F147" s="50" t="s">
        <v>233</v>
      </c>
      <c r="G147">
        <v>8</v>
      </c>
    </row>
    <row r="148" spans="1:7" ht="17.25" customHeight="1" thickBot="1">
      <c r="A148" s="41">
        <v>41406</v>
      </c>
      <c r="B148" s="36" t="s">
        <v>140</v>
      </c>
      <c r="C148" s="36" t="s">
        <v>151</v>
      </c>
      <c r="D148" s="36" t="s">
        <v>144</v>
      </c>
      <c r="E148" s="42" t="s">
        <v>94</v>
      </c>
      <c r="F148" s="50" t="s">
        <v>242</v>
      </c>
      <c r="G148">
        <v>7</v>
      </c>
    </row>
    <row r="149" spans="1:7" ht="17.25" customHeight="1" thickBot="1">
      <c r="A149" s="41">
        <v>41434</v>
      </c>
      <c r="B149" s="36" t="s">
        <v>140</v>
      </c>
      <c r="C149" s="36" t="s">
        <v>159</v>
      </c>
      <c r="D149" s="36" t="s">
        <v>96</v>
      </c>
      <c r="E149" s="42" t="s">
        <v>94</v>
      </c>
      <c r="F149" s="50" t="s">
        <v>253</v>
      </c>
      <c r="G149">
        <v>7</v>
      </c>
    </row>
    <row r="150" spans="1:7" ht="17.25" customHeight="1" thickBot="1">
      <c r="A150" s="41">
        <v>41496</v>
      </c>
      <c r="B150" s="36" t="s">
        <v>91</v>
      </c>
      <c r="C150" s="36" t="s">
        <v>126</v>
      </c>
      <c r="D150" s="36" t="s">
        <v>104</v>
      </c>
      <c r="E150" s="42" t="s">
        <v>105</v>
      </c>
      <c r="F150" s="50" t="s">
        <v>213</v>
      </c>
      <c r="G150">
        <v>4</v>
      </c>
    </row>
    <row r="151" spans="1:7" ht="17.25" customHeight="1" thickBot="1">
      <c r="A151" s="41">
        <v>41391</v>
      </c>
      <c r="B151" s="36" t="s">
        <v>91</v>
      </c>
      <c r="C151" s="36" t="s">
        <v>145</v>
      </c>
      <c r="D151" s="36" t="s">
        <v>144</v>
      </c>
      <c r="E151" s="42" t="s">
        <v>94</v>
      </c>
      <c r="F151" s="50" t="s">
        <v>232</v>
      </c>
      <c r="G151">
        <v>8</v>
      </c>
    </row>
    <row r="152" spans="1:7" ht="17.25" customHeight="1" thickBot="1">
      <c r="A152" s="41">
        <v>41406</v>
      </c>
      <c r="B152" s="36" t="s">
        <v>140</v>
      </c>
      <c r="C152" s="36" t="s">
        <v>151</v>
      </c>
      <c r="D152" s="36" t="s">
        <v>144</v>
      </c>
      <c r="E152" s="42" t="s">
        <v>94</v>
      </c>
      <c r="F152" s="50" t="s">
        <v>243</v>
      </c>
      <c r="G152">
        <v>7</v>
      </c>
    </row>
    <row r="153" spans="1:7" ht="17.25" customHeight="1" thickBot="1">
      <c r="A153" s="41">
        <v>41497</v>
      </c>
      <c r="B153" s="36" t="s">
        <v>91</v>
      </c>
      <c r="C153" s="36" t="s">
        <v>128</v>
      </c>
      <c r="D153" s="36" t="s">
        <v>102</v>
      </c>
      <c r="E153" s="42" t="s">
        <v>105</v>
      </c>
      <c r="F153" s="50" t="s">
        <v>215</v>
      </c>
      <c r="G153">
        <v>6</v>
      </c>
    </row>
    <row r="154" spans="1:7" ht="17.25" customHeight="1" thickBot="1">
      <c r="A154" s="41">
        <v>41426</v>
      </c>
      <c r="B154" s="36" t="s">
        <v>91</v>
      </c>
      <c r="C154" s="36" t="s">
        <v>152</v>
      </c>
      <c r="D154" s="36" t="s">
        <v>153</v>
      </c>
      <c r="E154" s="42" t="s">
        <v>94</v>
      </c>
      <c r="F154" s="50" t="s">
        <v>245</v>
      </c>
      <c r="G154">
        <v>7</v>
      </c>
    </row>
    <row r="155" spans="1:7" ht="17.25" customHeight="1" thickBot="1">
      <c r="A155" s="41">
        <v>41406</v>
      </c>
      <c r="B155" s="36" t="s">
        <v>91</v>
      </c>
      <c r="C155" s="36" t="s">
        <v>119</v>
      </c>
      <c r="D155" s="36" t="s">
        <v>96</v>
      </c>
      <c r="E155" s="42" t="s">
        <v>97</v>
      </c>
      <c r="F155" s="50" t="s">
        <v>241</v>
      </c>
      <c r="G155">
        <v>8</v>
      </c>
    </row>
    <row r="156" spans="1:7" ht="17.25" customHeight="1" thickBot="1">
      <c r="A156" s="41">
        <v>41433</v>
      </c>
      <c r="B156" s="36" t="s">
        <v>140</v>
      </c>
      <c r="C156" s="36" t="s">
        <v>155</v>
      </c>
      <c r="D156" s="36" t="s">
        <v>102</v>
      </c>
      <c r="E156" s="42" t="s">
        <v>105</v>
      </c>
      <c r="F156" s="50" t="s">
        <v>248</v>
      </c>
      <c r="G156">
        <v>8</v>
      </c>
    </row>
    <row r="157" spans="1:7" ht="17.25" customHeight="1" thickBot="1">
      <c r="A157" s="41">
        <v>41433</v>
      </c>
      <c r="B157" s="36" t="s">
        <v>91</v>
      </c>
      <c r="C157" s="36" t="s">
        <v>154</v>
      </c>
      <c r="D157" s="36" t="s">
        <v>102</v>
      </c>
      <c r="E157" s="42" t="s">
        <v>105</v>
      </c>
      <c r="F157" s="50" t="s">
        <v>248</v>
      </c>
      <c r="G157">
        <v>8</v>
      </c>
    </row>
    <row r="158" spans="1:7" ht="17.25" customHeight="1" thickBot="1">
      <c r="A158" s="41">
        <v>41553</v>
      </c>
      <c r="B158" s="36" t="s">
        <v>91</v>
      </c>
      <c r="C158" s="36" t="s">
        <v>119</v>
      </c>
      <c r="D158" s="36" t="s">
        <v>93</v>
      </c>
      <c r="E158" s="42" t="s">
        <v>97</v>
      </c>
      <c r="F158" s="50" t="s">
        <v>223</v>
      </c>
      <c r="G158">
        <v>8</v>
      </c>
    </row>
    <row r="159" spans="1:7" ht="17.25" customHeight="1" thickBot="1">
      <c r="A159" s="41">
        <v>41454</v>
      </c>
      <c r="B159" s="36" t="s">
        <v>91</v>
      </c>
      <c r="C159" s="36" t="s">
        <v>160</v>
      </c>
      <c r="D159" s="36" t="s">
        <v>93</v>
      </c>
      <c r="E159" s="42" t="s">
        <v>97</v>
      </c>
      <c r="F159" s="50" t="s">
        <v>220</v>
      </c>
      <c r="G159">
        <v>8</v>
      </c>
    </row>
    <row r="160" spans="1:7" ht="17.25" customHeight="1" thickBot="1">
      <c r="A160" s="41">
        <v>41538</v>
      </c>
      <c r="B160" s="36" t="s">
        <v>91</v>
      </c>
      <c r="C160" s="36" t="s">
        <v>136</v>
      </c>
      <c r="D160" s="36" t="s">
        <v>104</v>
      </c>
      <c r="E160" s="42" t="s">
        <v>99</v>
      </c>
      <c r="F160" s="50" t="s">
        <v>220</v>
      </c>
      <c r="G160">
        <v>8</v>
      </c>
    </row>
    <row r="161" spans="1:7" ht="17.25" customHeight="1" thickBot="1">
      <c r="A161" s="41">
        <v>41552</v>
      </c>
      <c r="B161" s="36" t="s">
        <v>91</v>
      </c>
      <c r="C161" s="36" t="s">
        <v>130</v>
      </c>
      <c r="D161" s="36" t="s">
        <v>112</v>
      </c>
      <c r="E161" s="42" t="s">
        <v>94</v>
      </c>
      <c r="F161" s="50" t="s">
        <v>222</v>
      </c>
      <c r="G161">
        <v>8</v>
      </c>
    </row>
    <row r="162" spans="1:7" ht="17.25" customHeight="1" thickBot="1">
      <c r="A162" s="41">
        <v>41377</v>
      </c>
      <c r="B162" s="36" t="s">
        <v>141</v>
      </c>
      <c r="C162" s="36" t="s">
        <v>142</v>
      </c>
      <c r="D162" s="36" t="s">
        <v>121</v>
      </c>
      <c r="E162" s="42" t="s">
        <v>94</v>
      </c>
      <c r="F162" s="50" t="s">
        <v>226</v>
      </c>
      <c r="G162">
        <v>6</v>
      </c>
    </row>
    <row r="163" spans="1:7" ht="17.25" customHeight="1" thickBot="1">
      <c r="A163" s="41">
        <v>41447</v>
      </c>
      <c r="B163" s="36" t="s">
        <v>91</v>
      </c>
      <c r="C163" s="36" t="s">
        <v>116</v>
      </c>
      <c r="D163" s="36" t="s">
        <v>93</v>
      </c>
      <c r="E163" s="42" t="s">
        <v>94</v>
      </c>
      <c r="F163" s="50" t="s">
        <v>200</v>
      </c>
      <c r="G163">
        <v>6</v>
      </c>
    </row>
    <row r="164" spans="1:7" ht="17.25" customHeight="1" thickBot="1">
      <c r="A164" s="41">
        <v>41504</v>
      </c>
      <c r="B164" s="36" t="s">
        <v>91</v>
      </c>
      <c r="C164" s="36" t="s">
        <v>132</v>
      </c>
      <c r="D164" s="36" t="s">
        <v>102</v>
      </c>
      <c r="E164" s="42" t="s">
        <v>105</v>
      </c>
      <c r="F164" s="50" t="s">
        <v>70</v>
      </c>
      <c r="G164">
        <v>6</v>
      </c>
    </row>
    <row r="165" spans="1:7" ht="17.25" customHeight="1" thickBot="1">
      <c r="A165" s="41">
        <v>41405</v>
      </c>
      <c r="B165" s="36" t="s">
        <v>91</v>
      </c>
      <c r="C165" s="36" t="s">
        <v>124</v>
      </c>
      <c r="D165" s="36" t="s">
        <v>149</v>
      </c>
      <c r="E165" s="42" t="s">
        <v>99</v>
      </c>
      <c r="F165" s="50" t="s">
        <v>235</v>
      </c>
      <c r="G165">
        <v>7</v>
      </c>
    </row>
    <row r="166" spans="1:7" ht="17.25" customHeight="1" thickBot="1">
      <c r="A166" s="41">
        <v>41545</v>
      </c>
      <c r="B166" s="36" t="s">
        <v>140</v>
      </c>
      <c r="C166" s="36" t="s">
        <v>179</v>
      </c>
      <c r="D166" s="36" t="s">
        <v>96</v>
      </c>
      <c r="E166" s="42" t="s">
        <v>94</v>
      </c>
      <c r="F166" s="50" t="s">
        <v>274</v>
      </c>
      <c r="G166">
        <v>7</v>
      </c>
    </row>
    <row r="167" spans="1:7" ht="17.25" customHeight="1" thickBot="1">
      <c r="A167" s="41">
        <v>41392</v>
      </c>
      <c r="B167" s="36" t="s">
        <v>140</v>
      </c>
      <c r="C167" s="36" t="s">
        <v>148</v>
      </c>
      <c r="D167" s="36" t="s">
        <v>102</v>
      </c>
      <c r="E167" s="42" t="s">
        <v>97</v>
      </c>
      <c r="F167" s="50" t="s">
        <v>234</v>
      </c>
      <c r="G167">
        <v>8</v>
      </c>
    </row>
    <row r="168" spans="1:7" ht="17.25" customHeight="1" thickBot="1">
      <c r="A168" s="41">
        <v>41483</v>
      </c>
      <c r="B168" s="36" t="s">
        <v>91</v>
      </c>
      <c r="C168" s="36" t="s">
        <v>125</v>
      </c>
      <c r="D168" s="36" t="s">
        <v>121</v>
      </c>
      <c r="E168" s="42" t="s">
        <v>97</v>
      </c>
      <c r="F168" s="50" t="s">
        <v>210</v>
      </c>
      <c r="G168">
        <v>8</v>
      </c>
    </row>
    <row r="169" spans="1:7" ht="17.25" customHeight="1" thickBot="1">
      <c r="A169" s="41">
        <v>41476</v>
      </c>
      <c r="B169" s="36" t="s">
        <v>91</v>
      </c>
      <c r="C169" s="36" t="s">
        <v>163</v>
      </c>
      <c r="D169" s="36" t="s">
        <v>144</v>
      </c>
      <c r="E169" s="42" t="s">
        <v>97</v>
      </c>
      <c r="F169" s="50" t="s">
        <v>261</v>
      </c>
      <c r="G169">
        <v>8</v>
      </c>
    </row>
    <row r="170" spans="1:7" ht="17.25" customHeight="1" thickBot="1">
      <c r="A170" s="41">
        <v>41434</v>
      </c>
      <c r="B170" s="36" t="s">
        <v>140</v>
      </c>
      <c r="C170" s="36" t="s">
        <v>157</v>
      </c>
      <c r="D170" s="36" t="s">
        <v>102</v>
      </c>
      <c r="E170" s="42" t="s">
        <v>105</v>
      </c>
      <c r="F170" s="50" t="s">
        <v>251</v>
      </c>
      <c r="G170">
        <v>9</v>
      </c>
    </row>
    <row r="171" spans="1:7" ht="17.25" customHeight="1" thickBot="1">
      <c r="A171" s="41">
        <v>41441</v>
      </c>
      <c r="B171" s="36" t="s">
        <v>91</v>
      </c>
      <c r="C171" s="36" t="s">
        <v>115</v>
      </c>
      <c r="D171" s="36" t="s">
        <v>112</v>
      </c>
      <c r="E171" s="42" t="s">
        <v>97</v>
      </c>
      <c r="F171" s="50" t="s">
        <v>196</v>
      </c>
      <c r="G171">
        <v>9</v>
      </c>
    </row>
    <row r="172" spans="1:7" ht="17.25" customHeight="1" thickBot="1">
      <c r="A172" s="41">
        <v>41489</v>
      </c>
      <c r="B172" s="36" t="s">
        <v>140</v>
      </c>
      <c r="C172" s="36" t="s">
        <v>169</v>
      </c>
      <c r="D172" s="36" t="s">
        <v>112</v>
      </c>
      <c r="E172" s="42" t="s">
        <v>105</v>
      </c>
      <c r="F172" s="50" t="s">
        <v>196</v>
      </c>
      <c r="G172">
        <v>9</v>
      </c>
    </row>
    <row r="173" spans="1:7" ht="17.25" customHeight="1" thickBot="1">
      <c r="A173" s="41">
        <v>41560</v>
      </c>
      <c r="B173" s="36" t="s">
        <v>91</v>
      </c>
      <c r="C173" s="36" t="s">
        <v>123</v>
      </c>
      <c r="D173" s="36" t="s">
        <v>96</v>
      </c>
      <c r="E173" s="42" t="s">
        <v>97</v>
      </c>
      <c r="F173" s="50" t="s">
        <v>277</v>
      </c>
      <c r="G173">
        <v>6</v>
      </c>
    </row>
    <row r="174" spans="1:7" ht="17.25" customHeight="1" thickBot="1">
      <c r="A174" s="41">
        <v>41434</v>
      </c>
      <c r="B174" s="36" t="s">
        <v>140</v>
      </c>
      <c r="C174" s="36" t="s">
        <v>158</v>
      </c>
      <c r="D174" s="36" t="s">
        <v>112</v>
      </c>
      <c r="E174" s="42" t="s">
        <v>97</v>
      </c>
      <c r="F174" s="50" t="s">
        <v>249</v>
      </c>
      <c r="G174">
        <v>7.5</v>
      </c>
    </row>
    <row r="175" spans="1:7" ht="17.25" customHeight="1" thickBot="1">
      <c r="A175" s="41">
        <v>41385</v>
      </c>
      <c r="B175" s="36" t="s">
        <v>91</v>
      </c>
      <c r="C175" s="36" t="s">
        <v>95</v>
      </c>
      <c r="D175" s="36" t="s">
        <v>96</v>
      </c>
      <c r="E175" s="42" t="s">
        <v>97</v>
      </c>
      <c r="F175" s="50" t="s">
        <v>188</v>
      </c>
      <c r="G175">
        <v>8</v>
      </c>
    </row>
    <row r="176" spans="1:7" ht="17.25" customHeight="1" thickBot="1">
      <c r="A176" s="41">
        <v>41476</v>
      </c>
      <c r="B176" s="36" t="s">
        <v>140</v>
      </c>
      <c r="C176" s="36" t="s">
        <v>166</v>
      </c>
      <c r="D176" s="36" t="s">
        <v>153</v>
      </c>
      <c r="E176" s="42" t="s">
        <v>97</v>
      </c>
      <c r="F176" s="50" t="s">
        <v>212</v>
      </c>
      <c r="G176">
        <v>7</v>
      </c>
    </row>
    <row r="177" spans="1:7" ht="17.25" customHeight="1" thickBot="1">
      <c r="A177" s="41">
        <v>41496</v>
      </c>
      <c r="B177" s="36" t="s">
        <v>91</v>
      </c>
      <c r="C177" s="36" t="s">
        <v>127</v>
      </c>
      <c r="D177" s="36" t="s">
        <v>121</v>
      </c>
      <c r="E177" s="42" t="s">
        <v>97</v>
      </c>
      <c r="F177" s="50" t="s">
        <v>212</v>
      </c>
      <c r="G177">
        <v>8</v>
      </c>
    </row>
    <row r="178" spans="1:7" ht="17.25" customHeight="1" thickBot="1">
      <c r="A178" s="41">
        <v>41546</v>
      </c>
      <c r="B178" s="36" t="s">
        <v>91</v>
      </c>
      <c r="C178" s="36" t="s">
        <v>139</v>
      </c>
      <c r="D178" s="36" t="s">
        <v>121</v>
      </c>
      <c r="E178" s="42" t="s">
        <v>97</v>
      </c>
      <c r="F178" s="50" t="s">
        <v>212</v>
      </c>
      <c r="G178">
        <v>6</v>
      </c>
    </row>
    <row r="179" spans="1:7" ht="17.25" customHeight="1" thickBot="1">
      <c r="A179" s="41">
        <v>41489</v>
      </c>
      <c r="B179" s="36" t="s">
        <v>91</v>
      </c>
      <c r="C179" s="36" t="s">
        <v>167</v>
      </c>
      <c r="D179" s="36" t="s">
        <v>93</v>
      </c>
      <c r="E179" s="42" t="s">
        <v>97</v>
      </c>
      <c r="F179" s="50" t="s">
        <v>71</v>
      </c>
      <c r="G179">
        <v>8</v>
      </c>
    </row>
    <row r="180" spans="1:7" ht="17.25" customHeight="1" thickBot="1">
      <c r="A180" s="41">
        <v>41398</v>
      </c>
      <c r="B180" s="36" t="s">
        <v>91</v>
      </c>
      <c r="C180" s="36" t="s">
        <v>100</v>
      </c>
      <c r="D180" s="36" t="s">
        <v>96</v>
      </c>
      <c r="E180" s="42" t="s">
        <v>99</v>
      </c>
    </row>
    <row r="181" spans="1:7" ht="17.25" customHeight="1" thickBot="1">
      <c r="A181" s="41">
        <v>41398</v>
      </c>
      <c r="B181" s="36" t="s">
        <v>91</v>
      </c>
      <c r="C181" s="36" t="s">
        <v>100</v>
      </c>
      <c r="D181" s="36" t="s">
        <v>96</v>
      </c>
      <c r="E181" s="42" t="s">
        <v>99</v>
      </c>
    </row>
    <row r="182" spans="1:7" ht="17.25" customHeight="1" thickBot="1">
      <c r="A182" s="41">
        <v>41412</v>
      </c>
      <c r="B182" s="36" t="s">
        <v>91</v>
      </c>
      <c r="C182" s="36" t="s">
        <v>106</v>
      </c>
      <c r="D182" s="36" t="s">
        <v>96</v>
      </c>
      <c r="E182" s="42" t="s">
        <v>94</v>
      </c>
    </row>
    <row r="183" spans="1:7" ht="17.25" customHeight="1" thickBot="1">
      <c r="A183" s="41">
        <v>41412</v>
      </c>
      <c r="B183" s="36" t="s">
        <v>91</v>
      </c>
      <c r="C183" s="36" t="s">
        <v>106</v>
      </c>
      <c r="D183" s="36" t="s">
        <v>96</v>
      </c>
      <c r="E183" s="42" t="s">
        <v>94</v>
      </c>
    </row>
    <row r="184" spans="1:7" ht="17.25" customHeight="1" thickBot="1">
      <c r="A184" s="41">
        <v>41413</v>
      </c>
      <c r="B184" s="36" t="s">
        <v>91</v>
      </c>
      <c r="C184" s="36" t="s">
        <v>107</v>
      </c>
      <c r="D184" s="36" t="s">
        <v>108</v>
      </c>
      <c r="E184" s="42" t="s">
        <v>109</v>
      </c>
    </row>
    <row r="185" spans="1:7" ht="17.25" customHeight="1" thickBot="1">
      <c r="A185" s="41">
        <v>41440</v>
      </c>
      <c r="B185" s="36" t="s">
        <v>91</v>
      </c>
      <c r="C185" s="36" t="s">
        <v>113</v>
      </c>
      <c r="D185" s="36" t="s">
        <v>112</v>
      </c>
      <c r="E185" s="42" t="s">
        <v>97</v>
      </c>
    </row>
    <row r="186" spans="1:7" ht="17.25" customHeight="1" thickBot="1">
      <c r="A186" s="41">
        <v>41440</v>
      </c>
      <c r="B186" s="36" t="s">
        <v>91</v>
      </c>
      <c r="C186" s="36" t="s">
        <v>113</v>
      </c>
      <c r="D186" s="36" t="s">
        <v>112</v>
      </c>
      <c r="E186" s="42" t="s">
        <v>97</v>
      </c>
    </row>
    <row r="187" spans="1:7" ht="17.25" customHeight="1" thickBot="1">
      <c r="A187" s="41">
        <v>41497</v>
      </c>
      <c r="B187" s="36" t="s">
        <v>91</v>
      </c>
      <c r="C187" s="36" t="s">
        <v>129</v>
      </c>
      <c r="D187" s="36" t="s">
        <v>121</v>
      </c>
      <c r="E187" s="42" t="s">
        <v>97</v>
      </c>
    </row>
    <row r="188" spans="1:7" ht="17.25" customHeight="1" thickBot="1">
      <c r="A188" s="41">
        <v>41497</v>
      </c>
      <c r="B188" s="36" t="s">
        <v>91</v>
      </c>
      <c r="C188" s="36" t="s">
        <v>129</v>
      </c>
      <c r="D188" s="36" t="s">
        <v>121</v>
      </c>
      <c r="E188" s="42" t="s">
        <v>97</v>
      </c>
    </row>
    <row r="189" spans="1:7" ht="17.25" customHeight="1" thickBot="1">
      <c r="A189" s="41">
        <v>41511</v>
      </c>
      <c r="B189" s="36" t="s">
        <v>140</v>
      </c>
      <c r="C189" s="36" t="s">
        <v>122</v>
      </c>
      <c r="D189" s="36" t="s">
        <v>108</v>
      </c>
      <c r="E189" s="42" t="s">
        <v>97</v>
      </c>
    </row>
    <row r="190" spans="1:7" ht="17.25" customHeight="1" thickBot="1">
      <c r="A190" s="41">
        <v>41511</v>
      </c>
      <c r="B190" s="36" t="s">
        <v>140</v>
      </c>
      <c r="C190" s="36" t="s">
        <v>122</v>
      </c>
      <c r="D190" s="36" t="s">
        <v>108</v>
      </c>
      <c r="E190" s="42" t="s">
        <v>97</v>
      </c>
    </row>
    <row r="191" spans="1:7" ht="17.25" customHeight="1" thickBot="1">
      <c r="A191" s="41">
        <v>41511</v>
      </c>
      <c r="B191" s="36" t="s">
        <v>140</v>
      </c>
      <c r="C191" s="36" t="s">
        <v>177</v>
      </c>
      <c r="D191" s="36" t="s">
        <v>112</v>
      </c>
      <c r="E191" s="42" t="s">
        <v>105</v>
      </c>
    </row>
    <row r="192" spans="1:7" ht="17.25" customHeight="1" thickBot="1">
      <c r="A192" s="41">
        <v>41511</v>
      </c>
      <c r="B192" s="36" t="s">
        <v>140</v>
      </c>
      <c r="C192" s="36" t="s">
        <v>177</v>
      </c>
      <c r="D192" s="36" t="s">
        <v>112</v>
      </c>
      <c r="E192" s="42" t="s">
        <v>105</v>
      </c>
    </row>
    <row r="193" spans="1:5" ht="17.25" customHeight="1" thickBot="1">
      <c r="A193" s="41">
        <v>41524</v>
      </c>
      <c r="B193" s="36" t="s">
        <v>91</v>
      </c>
      <c r="C193" s="36" t="s">
        <v>133</v>
      </c>
      <c r="D193" s="36" t="s">
        <v>121</v>
      </c>
      <c r="E193" s="42" t="s">
        <v>99</v>
      </c>
    </row>
    <row r="194" spans="1:5" ht="17.25" customHeight="1" thickBot="1">
      <c r="A194" s="41">
        <v>41524</v>
      </c>
      <c r="B194" s="36" t="s">
        <v>91</v>
      </c>
      <c r="C194" s="36" t="s">
        <v>133</v>
      </c>
      <c r="D194" s="36" t="s">
        <v>121</v>
      </c>
      <c r="E194" s="42" t="s">
        <v>99</v>
      </c>
    </row>
    <row r="195" spans="1:5" ht="17.25" customHeight="1" thickBot="1">
      <c r="A195" s="41">
        <v>41525</v>
      </c>
      <c r="B195" s="36" t="s">
        <v>91</v>
      </c>
      <c r="C195" s="36" t="s">
        <v>135</v>
      </c>
      <c r="D195" s="36" t="s">
        <v>108</v>
      </c>
      <c r="E195" s="42" t="s">
        <v>97</v>
      </c>
    </row>
    <row r="196" spans="1:5" ht="17.25" customHeight="1" thickBot="1">
      <c r="A196" s="41">
        <v>41525</v>
      </c>
      <c r="B196" s="36" t="s">
        <v>91</v>
      </c>
      <c r="C196" s="36" t="s">
        <v>135</v>
      </c>
      <c r="D196" s="36" t="s">
        <v>108</v>
      </c>
      <c r="E196" s="42" t="s">
        <v>97</v>
      </c>
    </row>
    <row r="197" spans="1:5" ht="17.25" customHeight="1" thickBot="1">
      <c r="A197" s="41">
        <v>41525</v>
      </c>
      <c r="B197" s="36" t="s">
        <v>91</v>
      </c>
      <c r="C197" s="36" t="s">
        <v>178</v>
      </c>
      <c r="D197" s="36" t="s">
        <v>149</v>
      </c>
      <c r="E197" s="42" t="s">
        <v>99</v>
      </c>
    </row>
    <row r="198" spans="1:5" ht="17.25" customHeight="1" thickBot="1">
      <c r="A198" s="41">
        <v>41525</v>
      </c>
      <c r="B198" s="36" t="s">
        <v>91</v>
      </c>
      <c r="C198" s="36" t="s">
        <v>178</v>
      </c>
      <c r="D198" s="36" t="s">
        <v>149</v>
      </c>
      <c r="E198" s="42" t="s">
        <v>99</v>
      </c>
    </row>
    <row r="199" spans="1:5" ht="17.25" customHeight="1" thickBot="1">
      <c r="A199" s="41">
        <v>41539</v>
      </c>
      <c r="B199" s="36" t="s">
        <v>91</v>
      </c>
      <c r="C199" s="36" t="s">
        <v>138</v>
      </c>
      <c r="D199" s="36" t="s">
        <v>96</v>
      </c>
      <c r="E199" s="42" t="s">
        <v>109</v>
      </c>
    </row>
    <row r="200" spans="1:5" ht="17.25" customHeight="1">
      <c r="A200" s="52"/>
      <c r="B200" s="54"/>
      <c r="C200" s="54"/>
      <c r="D200" s="54"/>
      <c r="E200" s="56"/>
    </row>
  </sheetData>
  <sortState ref="A2:G200">
    <sortCondition ref="F2:F200"/>
    <sortCondition ref="A2:A200"/>
    <sortCondition ref="B2:B200"/>
    <sortCondition ref="C2:C200"/>
  </sortState>
  <hyperlinks>
    <hyperlink ref="E51" r:id="rId1" display="http://coloradocricket.org/grounds.php?grounds=7&amp;ccl_mode=1"/>
    <hyperlink ref="E14" r:id="rId2" display="http://coloradocricket.org/grounds.php?grounds=3&amp;ccl_mode=1"/>
    <hyperlink ref="E112" r:id="rId3" display="http://coloradocricket.org/grounds.php?grounds=5&amp;ccl_mode=1"/>
    <hyperlink ref="E180" r:id="rId4" display="http://coloradocricket.org/grounds.php?grounds=5&amp;ccl_mode=1"/>
    <hyperlink ref="E57" r:id="rId5" display="http://coloradocricket.org/grounds.php?grounds=3&amp;ccl_mode=1"/>
    <hyperlink ref="E120" r:id="rId6" display="http://coloradocricket.org/grounds.php?grounds=2&amp;ccl_mode=1"/>
    <hyperlink ref="E182" r:id="rId7" display="http://coloradocricket.org/grounds.php?grounds=7&amp;ccl_mode=1"/>
    <hyperlink ref="E106" r:id="rId8" display="http://coloradocricket.org/grounds.php?grounds=12&amp;ccl_mode=1"/>
    <hyperlink ref="E80" r:id="rId9" display="http://coloradocricket.org/grounds.php?grounds=5&amp;ccl_mode=1"/>
    <hyperlink ref="E124" r:id="rId10" display="http://coloradocricket.org/grounds.php?grounds=3&amp;ccl_mode=1"/>
    <hyperlink ref="E185" r:id="rId11" display="http://coloradocricket.org/grounds.php?grounds=3&amp;ccl_mode=1"/>
    <hyperlink ref="E29" r:id="rId12" display="http://coloradocricket.org/grounds.php?grounds=7&amp;ccl_mode=1"/>
    <hyperlink ref="E171" r:id="rId13" display="http://coloradocricket.org/grounds.php?grounds=3&amp;ccl_mode=1"/>
    <hyperlink ref="E49" r:id="rId14" display="http://coloradocricket.org/grounds.php?grounds=7&amp;ccl_mode=1"/>
    <hyperlink ref="E10" r:id="rId15" display="http://coloradocricket.org/grounds.php?grounds=3&amp;ccl_mode=1"/>
    <hyperlink ref="E50" r:id="rId16" display="http://coloradocricket.org/grounds.php?grounds=2&amp;ccl_mode=1"/>
    <hyperlink ref="E18" r:id="rId17" display="http://coloradocricket.org/grounds.php?grounds=3&amp;ccl_mode=1"/>
    <hyperlink ref="E78" r:id="rId18" display="http://coloradocricket.org/grounds.php?grounds=7&amp;ccl_mode=1"/>
    <hyperlink ref="E56" r:id="rId19" display="http://coloradocricket.org/grounds.php?grounds=3&amp;ccl_mode=1"/>
    <hyperlink ref="E21" r:id="rId20" display="http://coloradocricket.org/grounds.php?grounds=3&amp;ccl_mode=1"/>
    <hyperlink ref="E44" r:id="rId21" display="http://coloradocricket.org/grounds.php?grounds=12&amp;ccl_mode=1"/>
    <hyperlink ref="E168" r:id="rId22" display="http://coloradocricket.org/grounds.php?grounds=3&amp;ccl_mode=1"/>
    <hyperlink ref="E150" r:id="rId23" display="http://coloradocricket.org/grounds.php?grounds=2&amp;ccl_mode=1"/>
    <hyperlink ref="E177" r:id="rId24" display="http://coloradocricket.org/grounds.php?grounds=3&amp;ccl_mode=1"/>
    <hyperlink ref="E4" r:id="rId25" display="http://coloradocricket.org/grounds.php?grounds=2&amp;ccl_mode=1"/>
    <hyperlink ref="E187" r:id="rId26" display="http://coloradocricket.org/grounds.php?grounds=3&amp;ccl_mode=1"/>
    <hyperlink ref="E64" r:id="rId27" display="http://coloradocricket.org/grounds.php?grounds=7&amp;ccl_mode=1"/>
    <hyperlink ref="E142" r:id="rId28" display="http://coloradocricket.org/grounds.php?grounds=3&amp;ccl_mode=1"/>
    <hyperlink ref="E5" r:id="rId29" display="http://coloradocricket.org/grounds.php?grounds=2&amp;ccl_mode=1"/>
    <hyperlink ref="E193" r:id="rId30" display="http://coloradocricket.org/grounds.php?grounds=5&amp;ccl_mode=1"/>
    <hyperlink ref="E61" r:id="rId31" display="http://coloradocricket.org/grounds.php?grounds=7&amp;ccl_mode=1"/>
    <hyperlink ref="E195" r:id="rId32" display="http://coloradocricket.org/grounds.php?grounds=3&amp;ccl_mode=1"/>
    <hyperlink ref="E45" r:id="rId33" display="http://coloradocricket.org/grounds.php?grounds=5&amp;ccl_mode=1"/>
    <hyperlink ref="E76" r:id="rId34" display="http://coloradocricket.org/grounds.php?grounds=12&amp;ccl_mode=1"/>
    <hyperlink ref="E132" r:id="rId35" display="http://coloradocricket.org/grounds.php?grounds=12&amp;ccl_mode=1"/>
    <hyperlink ref="E46" r:id="rId36" display="http://coloradocricket.org/grounds.php?grounds=5&amp;ccl_mode=1"/>
    <hyperlink ref="E178" r:id="rId37" display="http://coloradocricket.org/grounds.php?grounds=3&amp;ccl_mode=1"/>
    <hyperlink ref="E48" r:id="rId38" display="http://coloradocricket.org/grounds.php?grounds=5&amp;ccl_mode=1"/>
    <hyperlink ref="E20" r:id="rId39" display="http://coloradocricket.org/grounds.php?grounds=7&amp;ccl_mode=1"/>
    <hyperlink ref="E158" r:id="rId40" display="http://coloradocricket.org/grounds.php?grounds=3&amp;ccl_mode=1"/>
    <hyperlink ref="E28" r:id="rId41" display="http://coloradocricket.org/grounds.php?grounds=12&amp;ccl_mode=1"/>
    <hyperlink ref="E130" r:id="rId42" display="http://coloradocricket.org/grounds.php?grounds=12&amp;ccl_mode=1"/>
    <hyperlink ref="E162" r:id="rId43" display="http://coloradocricket.org/grounds.php?grounds=7&amp;ccl_mode=1"/>
    <hyperlink ref="E32" r:id="rId44" display="http://coloradocricket.org/grounds.php?grounds=7&amp;ccl_mode=1"/>
    <hyperlink ref="E17" r:id="rId45" display="http://coloradocricket.org/grounds.php?grounds=7&amp;ccl_mode=1"/>
    <hyperlink ref="E151" r:id="rId46" display="http://coloradocricket.org/grounds.php?grounds=7&amp;ccl_mode=1"/>
    <hyperlink ref="E134" r:id="rId47" display="http://coloradocricket.org/grounds.php?grounds=7&amp;ccl_mode=1"/>
    <hyperlink ref="E117" r:id="rId48" display="http://coloradocricket.org/grounds.php?grounds=3&amp;ccl_mode=1"/>
    <hyperlink ref="E74" r:id="rId49" display="http://coloradocricket.org/grounds.php?grounds=3&amp;ccl_mode=1"/>
    <hyperlink ref="E165" r:id="rId50" display="http://coloradocricket.org/grounds.php?grounds=5&amp;ccl_mode=1"/>
    <hyperlink ref="E70" r:id="rId51" display="http://coloradocricket.org/grounds.php?grounds=7&amp;ccl_mode=1"/>
    <hyperlink ref="E114" r:id="rId52" display="http://coloradocricket.org/grounds.php?grounds=3&amp;ccl_mode=1"/>
    <hyperlink ref="E148" r:id="rId53" display="http://coloradocricket.org/grounds.php?grounds=7&amp;ccl_mode=1"/>
    <hyperlink ref="E69" r:id="rId54" display="http://coloradocricket.org/grounds.php?grounds=3&amp;ccl_mode=1"/>
    <hyperlink ref="E154" r:id="rId55" display="http://coloradocricket.org/grounds.php?grounds=7&amp;ccl_mode=1"/>
    <hyperlink ref="E157" r:id="rId56" display="http://coloradocricket.org/grounds.php?grounds=2&amp;ccl_mode=1"/>
    <hyperlink ref="E156" r:id="rId57" display="http://coloradocricket.org/grounds.php?grounds=2&amp;ccl_mode=1"/>
    <hyperlink ref="E11" r:id="rId58" display="http://coloradocricket.org/grounds.php?grounds=2&amp;ccl_mode=1"/>
    <hyperlink ref="E36" r:id="rId59" display="http://coloradocricket.org/grounds.php?grounds=2&amp;ccl_mode=1"/>
    <hyperlink ref="E63" r:id="rId60" display="http://coloradocricket.org/grounds.php?grounds=3&amp;ccl_mode=1"/>
    <hyperlink ref="E52" r:id="rId61" display="http://coloradocricket.org/grounds.php?grounds=7&amp;ccl_mode=1"/>
    <hyperlink ref="E149" r:id="rId62" display="http://coloradocricket.org/grounds.php?grounds=7&amp;ccl_mode=1"/>
    <hyperlink ref="E79" r:id="rId63" display="http://coloradocricket.org/grounds.php?grounds=7&amp;ccl_mode=1"/>
    <hyperlink ref="E43" r:id="rId64" display="http://coloradocricket.org/grounds.php?grounds=3&amp;ccl_mode=1"/>
    <hyperlink ref="E75" r:id="rId65" display="http://coloradocricket.org/grounds.php?grounds=3&amp;ccl_mode=1"/>
    <hyperlink ref="E73" r:id="rId66" display="http://coloradocricket.org/grounds.php?grounds=7&amp;ccl_mode=1"/>
    <hyperlink ref="E67" r:id="rId67" display="http://coloradocricket.org/grounds.php?grounds=3&amp;ccl_mode=1"/>
    <hyperlink ref="E58" r:id="rId68" display="http://coloradocricket.org/grounds.php?grounds=3&amp;ccl_mode=1"/>
    <hyperlink ref="E169" r:id="rId69" display="http://coloradocricket.org/grounds.php?grounds=3&amp;ccl_mode=1"/>
    <hyperlink ref="E131" r:id="rId70" display="http://coloradocricket.org/grounds.php?grounds=7&amp;ccl_mode=1"/>
    <hyperlink ref="E72" r:id="rId71" display="http://coloradocricket.org/grounds.php?grounds=7&amp;ccl_mode=1"/>
    <hyperlink ref="E176" r:id="rId72" display="http://coloradocricket.org/grounds.php?grounds=3&amp;ccl_mode=1"/>
    <hyperlink ref="E83" r:id="rId73" display="http://coloradocricket.org/grounds.php?grounds=3&amp;ccl_mode=1"/>
    <hyperlink ref="E19" r:id="rId74" display="http://coloradocricket.org/grounds.php?grounds=2&amp;ccl_mode=1"/>
    <hyperlink ref="E60" r:id="rId75" display="http://coloradocricket.org/grounds.php?grounds=3&amp;ccl_mode=1"/>
    <hyperlink ref="E172" r:id="rId76" display="http://coloradocricket.org/grounds.php?grounds=2&amp;ccl_mode=1"/>
    <hyperlink ref="E121" r:id="rId77" display="http://coloradocricket.org/grounds.php?grounds=2&amp;ccl_mode=1"/>
    <hyperlink ref="E86" r:id="rId78" display="http://coloradocricket.org/grounds.php?grounds=2&amp;ccl_mode=1"/>
    <hyperlink ref="E119" r:id="rId79" display="http://coloradocricket.org/grounds.php?grounds=3&amp;ccl_mode=1"/>
    <hyperlink ref="E66" r:id="rId80" display="http://coloradocricket.org/grounds.php?grounds=7&amp;ccl_mode=1"/>
    <hyperlink ref="E12" r:id="rId81" display="http://coloradocricket.org/grounds.php?grounds=7&amp;ccl_mode=1"/>
    <hyperlink ref="E143" r:id="rId82" display="http://coloradocricket.org/grounds.php?grounds=3&amp;ccl_mode=1"/>
    <hyperlink ref="E13" r:id="rId83" display="http://coloradocricket.org/grounds.php?grounds=2&amp;ccl_mode=1"/>
    <hyperlink ref="E189" r:id="rId84" display="http://coloradocricket.org/grounds.php?grounds=3&amp;ccl_mode=1"/>
    <hyperlink ref="E191" r:id="rId85" display="http://coloradocricket.org/grounds.php?grounds=2&amp;ccl_mode=1"/>
    <hyperlink ref="E85" r:id="rId86" display="http://coloradocricket.org/grounds.php?grounds=3&amp;ccl_mode=1"/>
    <hyperlink ref="E197" r:id="rId87" display="http://coloradocricket.org/grounds.php?grounds=5&amp;ccl_mode=1"/>
    <hyperlink ref="E166" r:id="rId88" display="http://coloradocricket.org/grounds.php?grounds=7&amp;ccl_mode=1"/>
    <hyperlink ref="E47" r:id="rId89" display="http://coloradocricket.org/grounds.php?grounds=7&amp;ccl_mode=1"/>
    <hyperlink ref="E87" r:id="rId90" display="http://coloradocricket.org/grounds.php?grounds=5&amp;ccl_mode=1"/>
    <hyperlink ref="E90" r:id="rId91" display="http://coloradocricket.org/grounds.php?grounds=2&amp;ccl_mode=1"/>
    <hyperlink ref="E92" r:id="rId92" display="http://coloradocricket.org/grounds.php?grounds=5&amp;ccl_mode=1"/>
    <hyperlink ref="E77" r:id="rId93" display="http://coloradocricket.org/grounds.php?grounds=7&amp;ccl_mode=1"/>
    <hyperlink ref="E173" r:id="rId94" display="http://coloradocricket.org/grounds.php?grounds=3&amp;ccl_mode=1"/>
    <hyperlink ref="E99" r:id="rId95" display="http://coloradocricket.org/grounds.php?grounds=3&amp;ccl_mode=1"/>
    <hyperlink ref="E94" r:id="rId96" display="http://coloradocricket.org/grounds.php?grounds=7&amp;ccl_mode=1"/>
    <hyperlink ref="E133" r:id="rId97" display="http://coloradocricket.org/grounds.php?grounds=7&amp;ccl_mode=1"/>
    <hyperlink ref="E33" r:id="rId98" display="http://coloradocricket.org/grounds.php?grounds=3&amp;ccl_mode=1"/>
    <hyperlink ref="E96" r:id="rId99" display="http://coloradocricket.org/grounds.php?grounds=7&amp;ccl_mode=1"/>
    <hyperlink ref="E82" r:id="rId100" display="http://coloradocricket.org/grounds.php?grounds=7&amp;ccl_mode=1"/>
    <hyperlink ref="E175" r:id="rId101" display="http://coloradocricket.org/grounds.php?grounds=3&amp;ccl_mode=1"/>
    <hyperlink ref="E118" r:id="rId102" display="http://coloradocricket.org/grounds.php?grounds=5&amp;ccl_mode=1"/>
    <hyperlink ref="E181" r:id="rId103" display="http://coloradocricket.org/grounds.php?grounds=5&amp;ccl_mode=1"/>
    <hyperlink ref="E136" r:id="rId104" display="http://coloradocricket.org/grounds.php?grounds=3&amp;ccl_mode=1"/>
    <hyperlink ref="E26" r:id="rId105" display="http://coloradocricket.org/grounds.php?grounds=2&amp;ccl_mode=1"/>
    <hyperlink ref="E183" r:id="rId106" display="http://coloradocricket.org/grounds.php?grounds=7&amp;ccl_mode=1"/>
    <hyperlink ref="E184" r:id="rId107" display="http://coloradocricket.org/grounds.php?grounds=12&amp;ccl_mode=1"/>
    <hyperlink ref="E113" r:id="rId108" display="http://coloradocricket.org/grounds.php?grounds=5&amp;ccl_mode=1"/>
    <hyperlink ref="E137" r:id="rId109" display="http://coloradocricket.org/grounds.php?grounds=3&amp;ccl_mode=1"/>
    <hyperlink ref="E186" r:id="rId110" display="http://coloradocricket.org/grounds.php?grounds=3&amp;ccl_mode=1"/>
    <hyperlink ref="E135" r:id="rId111" display="http://coloradocricket.org/grounds.php?grounds=7&amp;ccl_mode=1"/>
    <hyperlink ref="E53" r:id="rId112" display="http://coloradocricket.org/grounds.php?grounds=3&amp;ccl_mode=1"/>
    <hyperlink ref="E163" r:id="rId113" display="http://coloradocricket.org/grounds.php?grounds=7&amp;ccl_mode=1"/>
    <hyperlink ref="E42" r:id="rId114" display="http://coloradocricket.org/grounds.php?grounds=3&amp;ccl_mode=1"/>
    <hyperlink ref="E39" r:id="rId115" display="http://coloradocricket.org/grounds.php?grounds=2&amp;ccl_mode=1"/>
    <hyperlink ref="E31" r:id="rId116" display="http://coloradocricket.org/grounds.php?grounds=3&amp;ccl_mode=1"/>
    <hyperlink ref="E102" r:id="rId117" display="http://coloradocricket.org/grounds.php?grounds=7&amp;ccl_mode=1"/>
    <hyperlink ref="E144" r:id="rId118" display="http://coloradocricket.org/grounds.php?grounds=3&amp;ccl_mode=1"/>
    <hyperlink ref="E59" r:id="rId119" display="http://coloradocricket.org/grounds.php?grounds=3&amp;ccl_mode=1"/>
    <hyperlink ref="E126" r:id="rId120" display="http://coloradocricket.org/grounds.php?grounds=12&amp;ccl_mode=1"/>
    <hyperlink ref="E107" r:id="rId121" display="http://coloradocricket.org/grounds.php?grounds=3&amp;ccl_mode=1"/>
    <hyperlink ref="E84" r:id="rId122" display="http://coloradocricket.org/grounds.php?grounds=2&amp;ccl_mode=1"/>
    <hyperlink ref="E123" r:id="rId123" display="http://coloradocricket.org/grounds.php?grounds=3&amp;ccl_mode=1"/>
    <hyperlink ref="E153" r:id="rId124" display="http://coloradocricket.org/grounds.php?grounds=2&amp;ccl_mode=1"/>
    <hyperlink ref="E188" r:id="rId125" display="http://coloradocricket.org/grounds.php?grounds=3&amp;ccl_mode=1"/>
    <hyperlink ref="E125" r:id="rId126" display="http://coloradocricket.org/grounds.php?grounds=7&amp;ccl_mode=1"/>
    <hyperlink ref="E38" r:id="rId127" display="http://coloradocricket.org/grounds.php?grounds=3&amp;ccl_mode=1"/>
    <hyperlink ref="E164" r:id="rId128" display="http://coloradocricket.org/grounds.php?grounds=2&amp;ccl_mode=1"/>
    <hyperlink ref="E194" r:id="rId129" display="http://coloradocricket.org/grounds.php?grounds=5&amp;ccl_mode=1"/>
    <hyperlink ref="E116" r:id="rId130" display="http://coloradocricket.org/grounds.php?grounds=7&amp;ccl_mode=1"/>
    <hyperlink ref="E196" r:id="rId131" display="http://coloradocricket.org/grounds.php?grounds=3&amp;ccl_mode=1"/>
    <hyperlink ref="E160" r:id="rId132" display="http://coloradocricket.org/grounds.php?grounds=5&amp;ccl_mode=1"/>
    <hyperlink ref="E139" r:id="rId133" display="http://coloradocricket.org/grounds.php?grounds=12&amp;ccl_mode=1"/>
    <hyperlink ref="E199" r:id="rId134" display="http://coloradocricket.org/grounds.php?grounds=12&amp;ccl_mode=1"/>
    <hyperlink ref="E15" r:id="rId135" display="http://coloradocricket.org/grounds.php?grounds=5&amp;ccl_mode=1"/>
    <hyperlink ref="E146" r:id="rId136" display="http://coloradocricket.org/grounds.php?grounds=3&amp;ccl_mode=1"/>
    <hyperlink ref="E62" r:id="rId137" display="http://coloradocricket.org/grounds.php?grounds=5&amp;ccl_mode=1"/>
    <hyperlink ref="E161" r:id="rId138" display="http://coloradocricket.org/grounds.php?grounds=7&amp;ccl_mode=1"/>
    <hyperlink ref="E140" r:id="rId139" display="http://coloradocricket.org/grounds.php?grounds=3&amp;ccl_mode=1"/>
    <hyperlink ref="E30" r:id="rId140" display="http://coloradocricket.org/grounds.php?grounds=12&amp;ccl_mode=1"/>
    <hyperlink ref="E25" r:id="rId141" display="http://coloradocricket.org/grounds.php?grounds=12&amp;ccl_mode=1"/>
    <hyperlink ref="E128" r:id="rId142" display="http://coloradocricket.org/grounds.php?grounds=7&amp;ccl_mode=1"/>
    <hyperlink ref="E65" r:id="rId143" display="http://coloradocricket.org/grounds.php?grounds=7&amp;ccl_mode=1"/>
    <hyperlink ref="E35" r:id="rId144" display="http://coloradocricket.org/grounds.php?grounds=7&amp;ccl_mode=1"/>
    <hyperlink ref="E147" r:id="rId145" display="http://coloradocricket.org/grounds.php?grounds=7&amp;ccl_mode=1"/>
    <hyperlink ref="E110" r:id="rId146" display="http://coloradocricket.org/grounds.php?grounds=7&amp;ccl_mode=1"/>
    <hyperlink ref="E41" r:id="rId147" display="http://coloradocricket.org/grounds.php?grounds=3&amp;ccl_mode=1"/>
    <hyperlink ref="E167" r:id="rId148" display="http://coloradocricket.org/grounds.php?grounds=3&amp;ccl_mode=1"/>
    <hyperlink ref="E8" r:id="rId149" display="http://coloradocricket.org/grounds.php?grounds=5&amp;ccl_mode=1"/>
    <hyperlink ref="E71" r:id="rId150" display="http://coloradocricket.org/grounds.php?grounds=7&amp;ccl_mode=1"/>
    <hyperlink ref="E155" r:id="rId151" display="http://coloradocricket.org/grounds.php?grounds=3&amp;ccl_mode=1"/>
    <hyperlink ref="E152" r:id="rId152" display="http://coloradocricket.org/grounds.php?grounds=7&amp;ccl_mode=1"/>
    <hyperlink ref="E98" r:id="rId153" display="http://coloradocricket.org/grounds.php?grounds=3&amp;ccl_mode=1"/>
    <hyperlink ref="E3" r:id="rId154" display="http://coloradocricket.org/grounds.php?grounds=7&amp;ccl_mode=1"/>
    <hyperlink ref="E55" r:id="rId155" display="http://coloradocricket.org/grounds.php?grounds=2&amp;ccl_mode=1"/>
    <hyperlink ref="E54" r:id="rId156" display="http://coloradocricket.org/grounds.php?grounds=2&amp;ccl_mode=1"/>
    <hyperlink ref="E101" r:id="rId157" display="http://coloradocricket.org/grounds.php?grounds=2&amp;ccl_mode=1"/>
    <hyperlink ref="E170" r:id="rId158" display="http://coloradocricket.org/grounds.php?grounds=2&amp;ccl_mode=1"/>
    <hyperlink ref="E174" r:id="rId159" display="http://coloradocricket.org/grounds.php?grounds=3&amp;ccl_mode=1"/>
    <hyperlink ref="E9" r:id="rId160" display="http://coloradocricket.org/grounds.php?grounds=7&amp;ccl_mode=1"/>
    <hyperlink ref="E115" r:id="rId161" display="http://coloradocricket.org/grounds.php?grounds=7&amp;ccl_mode=1"/>
    <hyperlink ref="E129" r:id="rId162" display="http://coloradocricket.org/grounds.php?grounds=7&amp;ccl_mode=1"/>
    <hyperlink ref="E159" r:id="rId163" display="http://coloradocricket.org/grounds.php?grounds=3&amp;ccl_mode=1"/>
    <hyperlink ref="E138" r:id="rId164" display="http://coloradocricket.org/grounds.php?grounds=3&amp;ccl_mode=1"/>
    <hyperlink ref="E81" r:id="rId165" display="http://coloradocricket.org/grounds.php?grounds=7&amp;ccl_mode=1"/>
    <hyperlink ref="E22" r:id="rId166" display="http://coloradocricket.org/grounds.php?grounds=3&amp;ccl_mode=1"/>
    <hyperlink ref="E23" r:id="rId167" display="http://coloradocricket.org/grounds.php?grounds=3&amp;ccl_mode=1"/>
    <hyperlink ref="E127" r:id="rId168" display="http://coloradocricket.org/grounds.php?grounds=3&amp;ccl_mode=1"/>
    <hyperlink ref="E6" r:id="rId169" display="http://coloradocricket.org/grounds.php?grounds=7&amp;ccl_mode=1"/>
    <hyperlink ref="E40" r:id="rId170" display="http://coloradocricket.org/grounds.php?grounds=7&amp;ccl_mode=1"/>
    <hyperlink ref="E108" r:id="rId171" display="http://coloradocricket.org/grounds.php?grounds=3&amp;ccl_mode=1"/>
    <hyperlink ref="E179" r:id="rId172" display="http://coloradocricket.org/grounds.php?grounds=3&amp;ccl_mode=1"/>
    <hyperlink ref="E100" r:id="rId173" display="http://coloradocricket.org/grounds.php?grounds=2&amp;ccl_mode=1"/>
    <hyperlink ref="E109" r:id="rId174" display="http://coloradocricket.org/grounds.php?grounds=3&amp;ccl_mode=1"/>
    <hyperlink ref="E27" r:id="rId175" display="http://coloradocricket.org/grounds.php?grounds=2&amp;ccl_mode=1"/>
    <hyperlink ref="E2" r:id="rId176" display="http://coloradocricket.org/grounds.php?grounds=2&amp;ccl_mode=1"/>
    <hyperlink ref="E104" r:id="rId177" display="http://coloradocricket.org/grounds.php?grounds=2&amp;ccl_mode=1"/>
    <hyperlink ref="E103" r:id="rId178" display="http://coloradocricket.org/grounds.php?grounds=3&amp;ccl_mode=1"/>
    <hyperlink ref="E68" r:id="rId179" display="http://coloradocricket.org/grounds.php?grounds=7&amp;ccl_mode=1"/>
    <hyperlink ref="E34" r:id="rId180" display="http://coloradocricket.org/grounds.php?grounds=7&amp;ccl_mode=1"/>
    <hyperlink ref="E24" r:id="rId181" display="http://coloradocricket.org/grounds.php?grounds=3&amp;ccl_mode=1"/>
    <hyperlink ref="E105" r:id="rId182" display="http://coloradocricket.org/grounds.php?grounds=2&amp;ccl_mode=1"/>
    <hyperlink ref="E190" r:id="rId183" display="http://coloradocricket.org/grounds.php?grounds=3&amp;ccl_mode=1"/>
    <hyperlink ref="E192" r:id="rId184" display="http://coloradocricket.org/grounds.php?grounds=2&amp;ccl_mode=1"/>
    <hyperlink ref="E145" r:id="rId185" display="http://coloradocricket.org/grounds.php?grounds=3&amp;ccl_mode=1"/>
    <hyperlink ref="E198" r:id="rId186" display="http://coloradocricket.org/grounds.php?grounds=5&amp;ccl_mode=1"/>
    <hyperlink ref="E7" r:id="rId187" display="http://coloradocricket.org/grounds.php?grounds=7&amp;ccl_mode=1"/>
    <hyperlink ref="E89" r:id="rId188" display="http://coloradocricket.org/grounds.php?grounds=7&amp;ccl_mode=1"/>
    <hyperlink ref="E88" r:id="rId189" display="http://coloradocricket.org/grounds.php?grounds=5&amp;ccl_mode=1"/>
    <hyperlink ref="E91" r:id="rId190" display="http://coloradocricket.org/grounds.php?grounds=2&amp;ccl_mode=1"/>
    <hyperlink ref="E93" r:id="rId191" display="http://coloradocricket.org/grounds.php?grounds=5&amp;ccl_mode=1"/>
    <hyperlink ref="E37" r:id="rId192" display="http://coloradocricket.org/grounds.php?grounds=7&amp;ccl_mode=1"/>
    <hyperlink ref="E111" r:id="rId193" display="http://coloradocricket.org/grounds.php?grounds=3&amp;ccl_mode=1"/>
    <hyperlink ref="E141" r:id="rId194" display="http://coloradocricket.org/grounds.php?grounds=3&amp;ccl_mode=1"/>
    <hyperlink ref="E95" r:id="rId195" display="http://coloradocricket.org/grounds.php?grounds=7&amp;ccl_mode=1"/>
    <hyperlink ref="E16" r:id="rId196" display="http://coloradocricket.org/grounds.php?grounds=7&amp;ccl_mode=1"/>
    <hyperlink ref="E122" r:id="rId197" display="http://coloradocricket.org/grounds.php?grounds=3&amp;ccl_mode=1"/>
    <hyperlink ref="E97" r:id="rId198" display="http://coloradocricket.org/grounds.php?grounds=7&amp;ccl_mode=1"/>
  </hyperlinks>
  <pageMargins left="0.7" right="0.7" top="0.75" bottom="0.75" header="0.3" footer="0.3"/>
  <pageSetup orientation="portrait" r:id="rId199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Sheet2</vt:lpstr>
      <vt:lpstr>Sheet3</vt:lpstr>
    </vt:vector>
  </TitlesOfParts>
  <Company>El Paso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Corporation</dc:creator>
  <cp:lastModifiedBy>ray</cp:lastModifiedBy>
  <cp:lastPrinted>2010-11-09T22:12:17Z</cp:lastPrinted>
  <dcterms:created xsi:type="dcterms:W3CDTF">2010-10-22T21:17:53Z</dcterms:created>
  <dcterms:modified xsi:type="dcterms:W3CDTF">2017-11-17T01:44:51Z</dcterms:modified>
</cp:coreProperties>
</file>