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285" windowWidth="12510" windowHeight="5595" firstSheet="10" activeTab="10"/>
  </bookViews>
  <sheets>
    <sheet name="EOQ" sheetId="1" r:id="rId1"/>
    <sheet name="EOQ w PBO" sheetId="5" r:id="rId2"/>
    <sheet name="EOQ w LT variable" sheetId="10" r:id="rId3"/>
    <sheet name="Single Period" sheetId="2" r:id="rId4"/>
    <sheet name="Base Stock" sheetId="6" r:id="rId5"/>
    <sheet name="Continuous (s,Q)" sheetId="7" r:id="rId6"/>
    <sheet name="Periodic (R,S)" sheetId="9" r:id="rId7"/>
    <sheet name="Transportation Costs" sheetId="13" r:id="rId8"/>
    <sheet name="Continuous (s,Q) (v2)" sheetId="15" r:id="rId9"/>
    <sheet name="Periodic (R,S) (v2)" sheetId="14" r:id="rId10"/>
    <sheet name="Triangle Distribution" sheetId="16" r:id="rId11"/>
  </sheets>
  <definedNames>
    <definedName name="solver_adj" localSheetId="5" hidden="1">'Continuous (s,Q)'!$C$10</definedName>
    <definedName name="solver_adj" localSheetId="8" hidden="1">'Continuous (s,Q) (v2)'!$C$15</definedName>
    <definedName name="solver_adj" localSheetId="3" hidden="1">'Single Period'!$C$5</definedName>
    <definedName name="solver_adj" localSheetId="10" hidden="1">'Triangle Distribution'!$B$14</definedName>
    <definedName name="solver_cvg" localSheetId="5" hidden="1">0.0001</definedName>
    <definedName name="solver_cvg" localSheetId="8" hidden="1">0.0001</definedName>
    <definedName name="solver_cvg" localSheetId="3" hidden="1">0.0001</definedName>
    <definedName name="solver_cvg" localSheetId="10" hidden="1">0.0001</definedName>
    <definedName name="solver_drv" localSheetId="5" hidden="1">1</definedName>
    <definedName name="solver_drv" localSheetId="8" hidden="1">1</definedName>
    <definedName name="solver_drv" localSheetId="3" hidden="1">2</definedName>
    <definedName name="solver_drv" localSheetId="10" hidden="1">1</definedName>
    <definedName name="solver_eng" localSheetId="5" hidden="1">1</definedName>
    <definedName name="solver_eng" localSheetId="8" hidden="1">1</definedName>
    <definedName name="solver_eng" localSheetId="3" hidden="1">1</definedName>
    <definedName name="solver_eng" localSheetId="10" hidden="1">1</definedName>
    <definedName name="solver_est" localSheetId="5" hidden="1">1</definedName>
    <definedName name="solver_est" localSheetId="8" hidden="1">1</definedName>
    <definedName name="solver_est" localSheetId="3" hidden="1">1</definedName>
    <definedName name="solver_est" localSheetId="10" hidden="1">1</definedName>
    <definedName name="solver_itr" localSheetId="5" hidden="1">2147483647</definedName>
    <definedName name="solver_itr" localSheetId="8" hidden="1">2147483647</definedName>
    <definedName name="solver_itr" localSheetId="3" hidden="1">2147483647</definedName>
    <definedName name="solver_itr" localSheetId="10" hidden="1">2147483647</definedName>
    <definedName name="solver_mip" localSheetId="5" hidden="1">2147483647</definedName>
    <definedName name="solver_mip" localSheetId="8" hidden="1">2147483647</definedName>
    <definedName name="solver_mip" localSheetId="3" hidden="1">2147483647</definedName>
    <definedName name="solver_mip" localSheetId="10" hidden="1">2147483647</definedName>
    <definedName name="solver_mni" localSheetId="5" hidden="1">30</definedName>
    <definedName name="solver_mni" localSheetId="8" hidden="1">30</definedName>
    <definedName name="solver_mni" localSheetId="3" hidden="1">30</definedName>
    <definedName name="solver_mni" localSheetId="10" hidden="1">30</definedName>
    <definedName name="solver_mrt" localSheetId="5" hidden="1">0.075</definedName>
    <definedName name="solver_mrt" localSheetId="8" hidden="1">0.075</definedName>
    <definedName name="solver_mrt" localSheetId="3" hidden="1">0.075</definedName>
    <definedName name="solver_mrt" localSheetId="10" hidden="1">0.075</definedName>
    <definedName name="solver_msl" localSheetId="5" hidden="1">2</definedName>
    <definedName name="solver_msl" localSheetId="8" hidden="1">2</definedName>
    <definedName name="solver_msl" localSheetId="3" hidden="1">2</definedName>
    <definedName name="solver_msl" localSheetId="10" hidden="1">2</definedName>
    <definedName name="solver_neg" localSheetId="5" hidden="1">1</definedName>
    <definedName name="solver_neg" localSheetId="8" hidden="1">1</definedName>
    <definedName name="solver_neg" localSheetId="3" hidden="1">1</definedName>
    <definedName name="solver_neg" localSheetId="10" hidden="1">1</definedName>
    <definedName name="solver_nod" localSheetId="5" hidden="1">2147483647</definedName>
    <definedName name="solver_nod" localSheetId="8" hidden="1">2147483647</definedName>
    <definedName name="solver_nod" localSheetId="3" hidden="1">2147483647</definedName>
    <definedName name="solver_nod" localSheetId="10" hidden="1">2147483647</definedName>
    <definedName name="solver_num" localSheetId="5" hidden="1">0</definedName>
    <definedName name="solver_num" localSheetId="8" hidden="1">0</definedName>
    <definedName name="solver_num" localSheetId="3" hidden="1">0</definedName>
    <definedName name="solver_num" localSheetId="10" hidden="1">0</definedName>
    <definedName name="solver_nwt" localSheetId="5" hidden="1">1</definedName>
    <definedName name="solver_nwt" localSheetId="8" hidden="1">1</definedName>
    <definedName name="solver_nwt" localSheetId="3" hidden="1">1</definedName>
    <definedName name="solver_nwt" localSheetId="10" hidden="1">1</definedName>
    <definedName name="solver_opt" localSheetId="5" hidden="1">'Continuous (s,Q)'!$F$12</definedName>
    <definedName name="solver_opt" localSheetId="8" hidden="1">'Continuous (s,Q) (v2)'!$F$17</definedName>
    <definedName name="solver_opt" localSheetId="3" hidden="1">'Single Period'!$I$13</definedName>
    <definedName name="solver_opt" localSheetId="10" hidden="1">'Triangle Distribution'!$E$18</definedName>
    <definedName name="solver_pre" localSheetId="5" hidden="1">0.000001</definedName>
    <definedName name="solver_pre" localSheetId="8" hidden="1">0.000001</definedName>
    <definedName name="solver_pre" localSheetId="3" hidden="1">0.000001</definedName>
    <definedName name="solver_pre" localSheetId="10" hidden="1">0.000001</definedName>
    <definedName name="solver_rbv" localSheetId="5" hidden="1">1</definedName>
    <definedName name="solver_rbv" localSheetId="8" hidden="1">1</definedName>
    <definedName name="solver_rbv" localSheetId="3" hidden="1">2</definedName>
    <definedName name="solver_rbv" localSheetId="10" hidden="1">1</definedName>
    <definedName name="solver_rlx" localSheetId="5" hidden="1">2</definedName>
    <definedName name="solver_rlx" localSheetId="8" hidden="1">2</definedName>
    <definedName name="solver_rlx" localSheetId="3" hidden="1">2</definedName>
    <definedName name="solver_rlx" localSheetId="10" hidden="1">2</definedName>
    <definedName name="solver_rsd" localSheetId="5" hidden="1">0</definedName>
    <definedName name="solver_rsd" localSheetId="8" hidden="1">0</definedName>
    <definedName name="solver_rsd" localSheetId="3" hidden="1">0</definedName>
    <definedName name="solver_rsd" localSheetId="10" hidden="1">0</definedName>
    <definedName name="solver_scl" localSheetId="5" hidden="1">1</definedName>
    <definedName name="solver_scl" localSheetId="8" hidden="1">1</definedName>
    <definedName name="solver_scl" localSheetId="3" hidden="1">2</definedName>
    <definedName name="solver_scl" localSheetId="10" hidden="1">1</definedName>
    <definedName name="solver_sho" localSheetId="5" hidden="1">2</definedName>
    <definedName name="solver_sho" localSheetId="8" hidden="1">2</definedName>
    <definedName name="solver_sho" localSheetId="3" hidden="1">2</definedName>
    <definedName name="solver_sho" localSheetId="10" hidden="1">2</definedName>
    <definedName name="solver_ssz" localSheetId="5" hidden="1">100</definedName>
    <definedName name="solver_ssz" localSheetId="8" hidden="1">100</definedName>
    <definedName name="solver_ssz" localSheetId="3" hidden="1">100</definedName>
    <definedName name="solver_ssz" localSheetId="10" hidden="1">100</definedName>
    <definedName name="solver_tim" localSheetId="5" hidden="1">2147483647</definedName>
    <definedName name="solver_tim" localSheetId="8" hidden="1">2147483647</definedName>
    <definedName name="solver_tim" localSheetId="3" hidden="1">2147483647</definedName>
    <definedName name="solver_tim" localSheetId="10" hidden="1">2147483647</definedName>
    <definedName name="solver_tol" localSheetId="5" hidden="1">0.01</definedName>
    <definedName name="solver_tol" localSheetId="8" hidden="1">0.01</definedName>
    <definedName name="solver_tol" localSheetId="3" hidden="1">0.01</definedName>
    <definedName name="solver_tol" localSheetId="10" hidden="1">0.01</definedName>
    <definedName name="solver_typ" localSheetId="5" hidden="1">2</definedName>
    <definedName name="solver_typ" localSheetId="8" hidden="1">2</definedName>
    <definedName name="solver_typ" localSheetId="3" hidden="1">2</definedName>
    <definedName name="solver_typ" localSheetId="10" hidden="1">2</definedName>
    <definedName name="solver_val" localSheetId="5" hidden="1">0</definedName>
    <definedName name="solver_val" localSheetId="8" hidden="1">0</definedName>
    <definedName name="solver_val" localSheetId="3" hidden="1">0</definedName>
    <definedName name="solver_val" localSheetId="10" hidden="1">0</definedName>
    <definedName name="solver_ver" localSheetId="5" hidden="1">3</definedName>
    <definedName name="solver_ver" localSheetId="8" hidden="1">3</definedName>
    <definedName name="solver_ver" localSheetId="3" hidden="1">3</definedName>
    <definedName name="solver_ver" localSheetId="10" hidden="1">3</definedName>
  </definedNames>
  <calcPr calcId="145621"/>
</workbook>
</file>

<file path=xl/calcChain.xml><?xml version="1.0" encoding="utf-8"?>
<calcChain xmlns="http://schemas.openxmlformats.org/spreadsheetml/2006/main">
  <c r="B4" i="16" l="1"/>
  <c r="B6" i="16"/>
  <c r="B17" i="16" s="1"/>
  <c r="B5" i="16"/>
  <c r="C11" i="2"/>
  <c r="C10" i="2"/>
  <c r="B19" i="16"/>
  <c r="C4" i="1"/>
  <c r="C6" i="1"/>
  <c r="C5" i="1"/>
  <c r="B16" i="16" l="1"/>
  <c r="B15" i="16" s="1"/>
  <c r="B20" i="16"/>
  <c r="B18" i="16" s="1"/>
  <c r="B9" i="16"/>
  <c r="C9" i="10"/>
  <c r="C8" i="10"/>
  <c r="C5" i="10"/>
  <c r="C6" i="10"/>
  <c r="B10" i="16"/>
  <c r="B11" i="16" s="1"/>
  <c r="I53" i="14"/>
  <c r="I52" i="14"/>
  <c r="C12" i="15"/>
  <c r="D12" i="15" s="1"/>
  <c r="C11" i="15"/>
  <c r="C53" i="15" s="1"/>
  <c r="D53" i="15" s="1"/>
  <c r="C75" i="15"/>
  <c r="C62" i="15"/>
  <c r="C61" i="15"/>
  <c r="C60" i="15"/>
  <c r="C51" i="15"/>
  <c r="D51" i="15" s="1"/>
  <c r="C38" i="15"/>
  <c r="C39" i="15" s="1"/>
  <c r="C29" i="15"/>
  <c r="C21" i="15"/>
  <c r="C16" i="15"/>
  <c r="C13" i="14"/>
  <c r="C52" i="14" s="1"/>
  <c r="D52" i="14" s="1"/>
  <c r="C12" i="14"/>
  <c r="C11" i="14"/>
  <c r="C8" i="14"/>
  <c r="C63" i="14"/>
  <c r="C76" i="14" s="1"/>
  <c r="C54" i="14"/>
  <c r="D54" i="14" s="1"/>
  <c r="C30" i="14"/>
  <c r="C22" i="14"/>
  <c r="C17" i="14"/>
  <c r="C62" i="14"/>
  <c r="C64" i="14" s="1"/>
  <c r="C77" i="14" s="1"/>
  <c r="C23" i="13"/>
  <c r="C19" i="13"/>
  <c r="C20" i="13"/>
  <c r="C12" i="13"/>
  <c r="C21" i="13"/>
  <c r="C18" i="13"/>
  <c r="C17" i="13"/>
  <c r="C14" i="13"/>
  <c r="C20" i="10"/>
  <c r="F17" i="10"/>
  <c r="G17" i="10" s="1"/>
  <c r="E17" i="10"/>
  <c r="C30" i="10"/>
  <c r="C31" i="10" s="1"/>
  <c r="C25" i="10"/>
  <c r="C23" i="10"/>
  <c r="G23" i="10" s="1"/>
  <c r="C19" i="10"/>
  <c r="E19" i="10" s="1"/>
  <c r="C17" i="10"/>
  <c r="C11" i="10" l="1"/>
  <c r="C26" i="10" s="1"/>
  <c r="C21" i="10" s="1"/>
  <c r="E21" i="10" s="1"/>
  <c r="C27" i="10"/>
  <c r="C24" i="10" s="1"/>
  <c r="C10" i="10"/>
  <c r="C63" i="15"/>
  <c r="C76" i="15" s="1"/>
  <c r="C27" i="15"/>
  <c r="C30" i="15" s="1"/>
  <c r="C32" i="15"/>
  <c r="C40" i="15"/>
  <c r="C44" i="15"/>
  <c r="C45" i="15" s="1"/>
  <c r="C47" i="15" s="1"/>
  <c r="C66" i="15" s="1"/>
  <c r="C68" i="15" s="1"/>
  <c r="C77" i="15" s="1"/>
  <c r="D11" i="15"/>
  <c r="C17" i="15"/>
  <c r="C22" i="15"/>
  <c r="C23" i="15" s="1"/>
  <c r="C46" i="15"/>
  <c r="C52" i="15"/>
  <c r="D52" i="15" s="1"/>
  <c r="D54" i="15" s="1"/>
  <c r="D17" i="15"/>
  <c r="D18" i="15" s="1"/>
  <c r="C31" i="15"/>
  <c r="C18" i="14"/>
  <c r="C28" i="14"/>
  <c r="C31" i="14" s="1"/>
  <c r="C33" i="14"/>
  <c r="C45" i="14"/>
  <c r="C39" i="14"/>
  <c r="C40" i="14" s="1"/>
  <c r="C41" i="14" s="1"/>
  <c r="C23" i="14"/>
  <c r="C24" i="14" s="1"/>
  <c r="C47" i="14"/>
  <c r="C32" i="14"/>
  <c r="D30" i="10"/>
  <c r="E20" i="10"/>
  <c r="C22" i="10"/>
  <c r="E22" i="10" s="1"/>
  <c r="C47" i="9"/>
  <c r="C72" i="9"/>
  <c r="C70" i="9"/>
  <c r="C57" i="9"/>
  <c r="C7" i="9"/>
  <c r="C6" i="9"/>
  <c r="C5" i="9"/>
  <c r="C68" i="7"/>
  <c r="C72" i="7"/>
  <c r="C71" i="7"/>
  <c r="C69" i="7"/>
  <c r="C57" i="7"/>
  <c r="C70" i="7" s="1"/>
  <c r="C55" i="7"/>
  <c r="C6" i="7"/>
  <c r="D6" i="7" s="1"/>
  <c r="C5" i="7"/>
  <c r="D5" i="7" s="1"/>
  <c r="C74" i="15" l="1"/>
  <c r="C73" i="15" s="1"/>
  <c r="C70" i="15"/>
  <c r="C53" i="14"/>
  <c r="D53" i="14" s="1"/>
  <c r="D55" i="14" s="1"/>
  <c r="C46" i="14"/>
  <c r="C48" i="14" s="1"/>
  <c r="C67" i="14" s="1"/>
  <c r="C69" i="14" s="1"/>
  <c r="C78" i="14" s="1"/>
  <c r="C18" i="10"/>
  <c r="C15" i="1"/>
  <c r="C14" i="1"/>
  <c r="C12" i="1"/>
  <c r="C16" i="1"/>
  <c r="C75" i="14" l="1"/>
  <c r="C74" i="14" s="1"/>
  <c r="C71" i="14"/>
  <c r="C16" i="10"/>
  <c r="E16" i="10" s="1"/>
  <c r="E18" i="10"/>
  <c r="C13" i="1"/>
  <c r="E12" i="1" s="1"/>
  <c r="C56" i="9"/>
  <c r="C58" i="9" s="1"/>
  <c r="C71" i="9" s="1"/>
  <c r="C46" i="9"/>
  <c r="D46" i="9" s="1"/>
  <c r="C56" i="7"/>
  <c r="C58" i="7" s="1"/>
  <c r="C39" i="7"/>
  <c r="C33" i="7"/>
  <c r="C24" i="9"/>
  <c r="C16" i="9"/>
  <c r="C11" i="9"/>
  <c r="C11" i="1" l="1"/>
  <c r="C27" i="9"/>
  <c r="D7" i="9"/>
  <c r="C33" i="9"/>
  <c r="C34" i="9" s="1"/>
  <c r="C35" i="9" s="1"/>
  <c r="D5" i="9"/>
  <c r="C22" i="9"/>
  <c r="C25" i="9" s="1"/>
  <c r="D47" i="9"/>
  <c r="C17" i="9"/>
  <c r="C18" i="9" s="1"/>
  <c r="C41" i="9"/>
  <c r="C26" i="9"/>
  <c r="C48" i="9"/>
  <c r="D48" i="9" s="1"/>
  <c r="C12" i="9"/>
  <c r="C39" i="9"/>
  <c r="C40" i="9" s="1"/>
  <c r="C42" i="9" s="1"/>
  <c r="C61" i="9" s="1"/>
  <c r="C63" i="9" s="1"/>
  <c r="C24" i="7"/>
  <c r="C46" i="7"/>
  <c r="C47" i="7"/>
  <c r="C11" i="7"/>
  <c r="D12" i="7" s="1"/>
  <c r="D13" i="7" s="1"/>
  <c r="D49" i="9" l="1"/>
  <c r="C48" i="7"/>
  <c r="D48" i="7" s="1"/>
  <c r="C41" i="7"/>
  <c r="C40" i="7"/>
  <c r="C42" i="7" s="1"/>
  <c r="C61" i="7" s="1"/>
  <c r="D47" i="7"/>
  <c r="D46" i="7"/>
  <c r="C27" i="7"/>
  <c r="C26" i="7"/>
  <c r="C22" i="7"/>
  <c r="C25" i="7" s="1"/>
  <c r="C16" i="7"/>
  <c r="C17" i="7" s="1"/>
  <c r="C18" i="7" s="1"/>
  <c r="C12" i="7"/>
  <c r="C5" i="6"/>
  <c r="C4" i="6"/>
  <c r="C65" i="9" l="1"/>
  <c r="C69" i="9"/>
  <c r="C68" i="9" s="1"/>
  <c r="C63" i="7"/>
  <c r="D49" i="7"/>
  <c r="C34" i="7"/>
  <c r="C35" i="7" s="1"/>
  <c r="C9" i="6"/>
  <c r="E7" i="2"/>
  <c r="E8" i="2"/>
  <c r="C65" i="7" l="1"/>
  <c r="C8" i="2"/>
  <c r="C7" i="2"/>
  <c r="C13" i="2" l="1"/>
  <c r="I13" i="2" s="1"/>
  <c r="C14" i="5"/>
  <c r="C13" i="5" s="1"/>
  <c r="C15" i="5"/>
  <c r="C14" i="2" l="1"/>
  <c r="C16" i="2" s="1"/>
  <c r="C12" i="5"/>
  <c r="C20" i="1"/>
  <c r="C18" i="1" s="1"/>
  <c r="C19" i="1"/>
  <c r="C17" i="2" l="1"/>
  <c r="C19" i="2" s="1"/>
  <c r="C20" i="2" s="1"/>
  <c r="C18" i="2"/>
  <c r="C20" i="5"/>
  <c r="C21" i="5" s="1"/>
  <c r="C23" i="5"/>
  <c r="C17" i="1"/>
  <c r="C23" i="1"/>
  <c r="C24" i="1" s="1"/>
  <c r="C21" i="2" l="1"/>
</calcChain>
</file>

<file path=xl/comments1.xml><?xml version="1.0" encoding="utf-8"?>
<comments xmlns="http://schemas.openxmlformats.org/spreadsheetml/2006/main">
  <authors>
    <author>Rogers, Daniel A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Rogers, Daniel A:</t>
        </r>
        <r>
          <rPr>
            <sz val="9"/>
            <color indexed="81"/>
            <rFont val="Tahoma"/>
            <family val="2"/>
          </rPr>
          <t xml:space="preserve">
=c(s) / [c(s) + c(e)]</t>
        </r>
      </text>
    </comment>
  </commentList>
</comments>
</file>

<file path=xl/comments2.xml><?xml version="1.0" encoding="utf-8"?>
<comments xmlns="http://schemas.openxmlformats.org/spreadsheetml/2006/main">
  <authors>
    <author>Rogers, Daniel A</author>
  </authors>
  <commentList>
    <comment ref="B48" authorId="0">
      <text>
        <r>
          <rPr>
            <b/>
            <sz val="9"/>
            <color indexed="81"/>
            <rFont val="Tahoma"/>
            <family val="2"/>
          </rPr>
          <t>Rogers, Daniel A:</t>
        </r>
        <r>
          <rPr>
            <sz val="9"/>
            <color indexed="81"/>
            <rFont val="Tahoma"/>
            <family val="2"/>
          </rPr>
          <t xml:space="preserve">
NOTE: This is usually zero</t>
        </r>
      </text>
    </comment>
  </commentList>
</comments>
</file>

<file path=xl/comments3.xml><?xml version="1.0" encoding="utf-8"?>
<comments xmlns="http://schemas.openxmlformats.org/spreadsheetml/2006/main">
  <authors>
    <author>Rogers, Daniel A</author>
  </authors>
  <commentList>
    <comment ref="B48" authorId="0">
      <text>
        <r>
          <rPr>
            <b/>
            <sz val="9"/>
            <color indexed="81"/>
            <rFont val="Tahoma"/>
            <family val="2"/>
          </rPr>
          <t>Rogers, Daniel A:</t>
        </r>
        <r>
          <rPr>
            <sz val="9"/>
            <color indexed="81"/>
            <rFont val="Tahoma"/>
            <family val="2"/>
          </rPr>
          <t xml:space="preserve">
NOTE: This is usually zero</t>
        </r>
      </text>
    </comment>
  </commentList>
</comments>
</file>

<file path=xl/comments4.xml><?xml version="1.0" encoding="utf-8"?>
<comments xmlns="http://schemas.openxmlformats.org/spreadsheetml/2006/main">
  <authors>
    <author>Rogers, Daniel A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Rogers, Daniel A:</t>
        </r>
        <r>
          <rPr>
            <sz val="9"/>
            <color indexed="81"/>
            <rFont val="Tahoma"/>
            <family val="2"/>
          </rPr>
          <t xml:space="preserve">
0.97 to 1.15 for Grid Networks.
0.59 to 0.99 for Euclidean distances (0.765 commonly used).</t>
        </r>
      </text>
    </comment>
  </commentList>
</comments>
</file>

<file path=xl/comments5.xml><?xml version="1.0" encoding="utf-8"?>
<comments xmlns="http://schemas.openxmlformats.org/spreadsheetml/2006/main">
  <authors>
    <author>Rogers, Daniel A</author>
  </authors>
  <commentList>
    <comment ref="B53" authorId="0">
      <text>
        <r>
          <rPr>
            <b/>
            <sz val="9"/>
            <color indexed="81"/>
            <rFont val="Tahoma"/>
            <family val="2"/>
          </rPr>
          <t>Rogers, Daniel A:</t>
        </r>
        <r>
          <rPr>
            <sz val="9"/>
            <color indexed="81"/>
            <rFont val="Tahoma"/>
            <family val="2"/>
          </rPr>
          <t xml:space="preserve">
NOTE: This is usually zero</t>
        </r>
      </text>
    </comment>
  </commentList>
</comments>
</file>

<file path=xl/comments6.xml><?xml version="1.0" encoding="utf-8"?>
<comments xmlns="http://schemas.openxmlformats.org/spreadsheetml/2006/main">
  <authors>
    <author>Rogers, Daniel A</author>
  </authors>
  <commentList>
    <comment ref="B54" authorId="0">
      <text>
        <r>
          <rPr>
            <b/>
            <sz val="9"/>
            <color indexed="81"/>
            <rFont val="Tahoma"/>
            <family val="2"/>
          </rPr>
          <t>Rogers, Daniel A:</t>
        </r>
        <r>
          <rPr>
            <sz val="9"/>
            <color indexed="81"/>
            <rFont val="Tahoma"/>
            <family val="2"/>
          </rPr>
          <t xml:space="preserve">
NOTE: This is usually zero</t>
        </r>
      </text>
    </comment>
  </commentList>
</comments>
</file>

<file path=xl/sharedStrings.xml><?xml version="1.0" encoding="utf-8"?>
<sst xmlns="http://schemas.openxmlformats.org/spreadsheetml/2006/main" count="769" uniqueCount="256">
  <si>
    <t>D=</t>
  </si>
  <si>
    <t>Demand</t>
  </si>
  <si>
    <t>units/time</t>
  </si>
  <si>
    <t>$/order</t>
  </si>
  <si>
    <t>Excess Inventory Cost</t>
  </si>
  <si>
    <t>Order Quantity</t>
  </si>
  <si>
    <t>Q*=</t>
  </si>
  <si>
    <t>Q=</t>
  </si>
  <si>
    <t>Order Interval</t>
  </si>
  <si>
    <t>T=</t>
  </si>
  <si>
    <t>Total Relevant Cost</t>
  </si>
  <si>
    <t>TRC=</t>
  </si>
  <si>
    <t>Economic Order Quantity</t>
  </si>
  <si>
    <t>T*=</t>
  </si>
  <si>
    <t>Outputs:</t>
  </si>
  <si>
    <t>units/order</t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</si>
  <si>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</si>
  <si>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c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=</t>
    </r>
  </si>
  <si>
    <t>Ordering Cost</t>
  </si>
  <si>
    <t>Lead Time</t>
  </si>
  <si>
    <t>L=</t>
  </si>
  <si>
    <t>$/unit/time</t>
  </si>
  <si>
    <t>time</t>
  </si>
  <si>
    <t>Avg. Cycle Inventory</t>
  </si>
  <si>
    <t>Avg. Pipeline Inventory</t>
  </si>
  <si>
    <t>Q/2=</t>
  </si>
  <si>
    <t>DL=</t>
  </si>
  <si>
    <t>Re-Order Point</t>
  </si>
  <si>
    <t>Optimal Policy:</t>
  </si>
  <si>
    <t>Unit Cost</t>
  </si>
  <si>
    <t>c=</t>
  </si>
  <si>
    <t>$/unit</t>
  </si>
  <si>
    <t>(note: only relevant for TC)</t>
  </si>
  <si>
    <t>Total Cost</t>
  </si>
  <si>
    <t>TC=</t>
  </si>
  <si>
    <t>(only affects re-order point and avg. inventory)</t>
  </si>
  <si>
    <t>Economic Order Quantity (w/ Planned Back-Orders)</t>
  </si>
  <si>
    <t>Shortage Cost</t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</si>
  <si>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</t>
    </r>
  </si>
  <si>
    <t>Shortage Threshold</t>
  </si>
  <si>
    <t>b=</t>
  </si>
  <si>
    <t>units</t>
  </si>
  <si>
    <t>Critical Ratio</t>
  </si>
  <si>
    <t>CR=</t>
  </si>
  <si>
    <t>Ratio (Q*pbo / Q*)</t>
  </si>
  <si>
    <t>Unit Price</t>
  </si>
  <si>
    <t>p=</t>
  </si>
  <si>
    <t>Salvage Value</t>
  </si>
  <si>
    <t>g=</t>
  </si>
  <si>
    <t>Shortage Penalty</t>
  </si>
  <si>
    <t>B=</t>
  </si>
  <si>
    <t>Mean</t>
  </si>
  <si>
    <t>Stdev</t>
  </si>
  <si>
    <t>Single Period Model</t>
  </si>
  <si>
    <t>Cost of Excess</t>
  </si>
  <si>
    <t>Cost of Shortage</t>
  </si>
  <si>
    <t>Optimal Order Quantity</t>
  </si>
  <si>
    <t>E[UnitsShort]</t>
  </si>
  <si>
    <t>Q[norm]</t>
  </si>
  <si>
    <t>k=</t>
  </si>
  <si>
    <t>E[Profit]</t>
  </si>
  <si>
    <t>E[x]=</t>
  </si>
  <si>
    <t>E[UnitsSold]</t>
  </si>
  <si>
    <t>P[Shortage]</t>
  </si>
  <si>
    <r>
      <rPr>
        <sz val="11"/>
        <color theme="1"/>
        <rFont val="Calibri"/>
        <family val="2"/>
      </rPr>
      <t>σ</t>
    </r>
    <r>
      <rPr>
        <sz val="9.9"/>
        <color theme="1"/>
        <rFont val="Calibri"/>
        <family val="2"/>
      </rPr>
      <t>[x]=</t>
    </r>
  </si>
  <si>
    <t>Base Stock Inventory Policy</t>
  </si>
  <si>
    <t>(Place orders equal to demand as demand occurs)</t>
  </si>
  <si>
    <t>Mean Demand</t>
  </si>
  <si>
    <t>Stdev. Demand</t>
  </si>
  <si>
    <r>
      <rPr>
        <sz val="11"/>
        <color theme="1"/>
        <rFont val="Calibri"/>
        <family val="2"/>
      </rPr>
      <t>σ</t>
    </r>
    <r>
      <rPr>
        <vertAlign val="subscript"/>
        <sz val="11"/>
        <color theme="1"/>
        <rFont val="Calibri"/>
        <family val="2"/>
      </rPr>
      <t>DL</t>
    </r>
    <r>
      <rPr>
        <sz val="11"/>
        <color theme="1"/>
        <rFont val="Calibri"/>
        <family val="2"/>
      </rPr>
      <t>=</t>
    </r>
  </si>
  <si>
    <r>
      <t>μ</t>
    </r>
    <r>
      <rPr>
        <vertAlign val="subscript"/>
        <sz val="11"/>
        <color theme="1"/>
        <rFont val="Calibri"/>
        <family val="2"/>
      </rPr>
      <t>DL</t>
    </r>
    <r>
      <rPr>
        <sz val="11"/>
        <color theme="1"/>
        <rFont val="Calibri"/>
        <family val="2"/>
      </rPr>
      <t>=</t>
    </r>
  </si>
  <si>
    <t>Level of Service</t>
  </si>
  <si>
    <t>LOS or CR=</t>
  </si>
  <si>
    <t>Base Stock</t>
  </si>
  <si>
    <t>S*=</t>
  </si>
  <si>
    <t>(calculate using EOQ model)</t>
  </si>
  <si>
    <t>Optimal Policy Using CSL</t>
  </si>
  <si>
    <t>Cycle Service Level</t>
  </si>
  <si>
    <t>CSL=</t>
  </si>
  <si>
    <t>Safety Stock</t>
  </si>
  <si>
    <t>s=</t>
  </si>
  <si>
    <t>Continuous Review Policy (s,Q)</t>
  </si>
  <si>
    <t>(Order Q units whenever inventory = s)</t>
  </si>
  <si>
    <t>Optimal k</t>
  </si>
  <si>
    <t>Optimal Policy Using CSOE</t>
  </si>
  <si>
    <t>Cost of Stockout Event</t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</si>
  <si>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</t>
    </r>
  </si>
  <si>
    <t>Cost of Excess Inventory</t>
  </si>
  <si>
    <t>ce=</t>
  </si>
  <si>
    <t>$ / event</t>
  </si>
  <si>
    <t>$ / unit / time</t>
  </si>
  <si>
    <t>Optimal Policy Using IFR</t>
  </si>
  <si>
    <t>Item Fill Rate</t>
  </si>
  <si>
    <t>IFR=</t>
  </si>
  <si>
    <t>Expected Loss Rate</t>
  </si>
  <si>
    <t>G[k]=</t>
  </si>
  <si>
    <t>G[k]*=</t>
  </si>
  <si>
    <t>Test k</t>
  </si>
  <si>
    <t>&lt;-- goal seek: change this</t>
  </si>
  <si>
    <t>Loss Rate Diff</t>
  </si>
  <si>
    <t>G[k*]-G[k]=</t>
  </si>
  <si>
    <t>&lt;-- goal seek: make this equal 0</t>
  </si>
  <si>
    <t>G[k]</t>
  </si>
  <si>
    <t>Optimal Policy Using CIS</t>
  </si>
  <si>
    <t>Cost per Item Short</t>
  </si>
  <si>
    <t>cs=</t>
  </si>
  <si>
    <t>Optimal P[StockOut]</t>
  </si>
  <si>
    <t>P[stockOut]*=</t>
  </si>
  <si>
    <t>k*=</t>
  </si>
  <si>
    <t>Costs</t>
  </si>
  <si>
    <t>Cycle Stock</t>
  </si>
  <si>
    <t>Pipeline Inventory</t>
  </si>
  <si>
    <t>Annual Cost</t>
  </si>
  <si>
    <t>Annual Cost (ce)</t>
  </si>
  <si>
    <t>Avg. Level</t>
  </si>
  <si>
    <t>Total</t>
  </si>
  <si>
    <t>Unit Loss Function</t>
  </si>
  <si>
    <t>k-value</t>
  </si>
  <si>
    <t>Reorder Point</t>
  </si>
  <si>
    <t>Periodic Review Policy (R, S)</t>
  </si>
  <si>
    <t>(Order up-to level S every R periods)</t>
  </si>
  <si>
    <r>
      <t>μ</t>
    </r>
    <r>
      <rPr>
        <vertAlign val="subscript"/>
        <sz val="11"/>
        <color theme="1"/>
        <rFont val="Calibri"/>
        <family val="2"/>
      </rPr>
      <t>D(L+R)</t>
    </r>
    <r>
      <rPr>
        <sz val="11"/>
        <color theme="1"/>
        <rFont val="Calibri"/>
        <family val="2"/>
      </rPr>
      <t>=</t>
    </r>
  </si>
  <si>
    <r>
      <t>σ</t>
    </r>
    <r>
      <rPr>
        <vertAlign val="subscript"/>
        <sz val="11"/>
        <color theme="1"/>
        <rFont val="Calibri"/>
        <family val="2"/>
      </rPr>
      <t>D(L+R)</t>
    </r>
    <r>
      <rPr>
        <sz val="11"/>
        <color theme="1"/>
        <rFont val="Calibri"/>
        <family val="2"/>
      </rPr>
      <t>=</t>
    </r>
  </si>
  <si>
    <t>Mean Demand (R+L)</t>
  </si>
  <si>
    <t>Stdev. Demand (R+L)</t>
  </si>
  <si>
    <t>Exp. Order Quantity</t>
  </si>
  <si>
    <r>
      <t>E[Q]=μ</t>
    </r>
    <r>
      <rPr>
        <vertAlign val="subscript"/>
        <sz val="11"/>
        <color theme="1"/>
        <rFont val="Calibri"/>
        <family val="2"/>
        <scheme val="minor"/>
      </rPr>
      <t>DR</t>
    </r>
    <r>
      <rPr>
        <sz val="11"/>
        <color theme="1"/>
        <rFont val="Calibri"/>
        <family val="2"/>
        <scheme val="minor"/>
      </rPr>
      <t>=</t>
    </r>
  </si>
  <si>
    <t>Demand (per year)</t>
  </si>
  <si>
    <t>D(year)=</t>
  </si>
  <si>
    <t>$/unit/year</t>
  </si>
  <si>
    <t>$/year</t>
  </si>
  <si>
    <t>Demand (annual)</t>
  </si>
  <si>
    <r>
      <t>D</t>
    </r>
    <r>
      <rPr>
        <vertAlign val="subscript"/>
        <sz val="11"/>
        <color theme="1"/>
        <rFont val="Calibri"/>
        <family val="2"/>
        <scheme val="minor"/>
      </rPr>
      <t>year</t>
    </r>
    <r>
      <rPr>
        <sz val="11"/>
        <color theme="1"/>
        <rFont val="Calibri"/>
        <family val="2"/>
        <scheme val="minor"/>
      </rPr>
      <t>=</t>
    </r>
  </si>
  <si>
    <t>Inv. Costs</t>
  </si>
  <si>
    <t>Ordering Costs.</t>
  </si>
  <si>
    <t>Expected Orders</t>
  </si>
  <si>
    <t>E[Orders]=</t>
  </si>
  <si>
    <t>Annual Demand</t>
  </si>
  <si>
    <t>Dyear=</t>
  </si>
  <si>
    <t>Cost per Order</t>
  </si>
  <si>
    <t>ct=</t>
  </si>
  <si>
    <t>Total Ordering Cost</t>
  </si>
  <si>
    <t>Shortage Costs</t>
  </si>
  <si>
    <t>E[Shorts]</t>
  </si>
  <si>
    <t>Cost per Unit Short</t>
  </si>
  <si>
    <t>cs</t>
  </si>
  <si>
    <t>TRC(Order+Inv+Short)</t>
  </si>
  <si>
    <r>
      <t>c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= ch =</t>
    </r>
  </si>
  <si>
    <t>$/time</t>
  </si>
  <si>
    <t xml:space="preserve">  Product Cost</t>
  </si>
  <si>
    <t xml:space="preserve">  cD=</t>
  </si>
  <si>
    <t xml:space="preserve">  Total Relevant Cost</t>
  </si>
  <si>
    <t xml:space="preserve">  TRC=</t>
  </si>
  <si>
    <t xml:space="preserve">    Ordering Cost</t>
  </si>
  <si>
    <t xml:space="preserve">    Inventory Cost</t>
  </si>
  <si>
    <t xml:space="preserve">    Pipeline Inventory Cost</t>
  </si>
  <si>
    <t>&lt;-- this is an input (see Q* below for optimal solution)</t>
  </si>
  <si>
    <t>% of demand that should be covered</t>
  </si>
  <si>
    <t>Inputs</t>
  </si>
  <si>
    <t>unit/year</t>
  </si>
  <si>
    <t>Cost per Item</t>
  </si>
  <si>
    <t>Product Cost</t>
  </si>
  <si>
    <t>cD=</t>
  </si>
  <si>
    <t>ct*E[Orders]=</t>
  </si>
  <si>
    <t>orders/year</t>
  </si>
  <si>
    <t>units/year</t>
  </si>
  <si>
    <t>$/unit short</t>
  </si>
  <si>
    <t xml:space="preserve">  Ordering Cost</t>
  </si>
  <si>
    <t xml:space="preserve">  Inventory Cost</t>
  </si>
  <si>
    <t xml:space="preserve">  Shortage Costs</t>
  </si>
  <si>
    <t>S=</t>
  </si>
  <si>
    <t>Ordering Costs</t>
  </si>
  <si>
    <t>Lead Time Variability</t>
  </si>
  <si>
    <t>σ(L)=</t>
  </si>
  <si>
    <t>Demand Variability</t>
  </si>
  <si>
    <t>σ(D)=</t>
  </si>
  <si>
    <t>μ(D)=</t>
  </si>
  <si>
    <t>μ(L)=</t>
  </si>
  <si>
    <t>Demand over LT</t>
  </si>
  <si>
    <t>Demand variabilit over LT</t>
  </si>
  <si>
    <t>Safey Stock Factor</t>
  </si>
  <si>
    <t>multiplier=</t>
  </si>
  <si>
    <t>n.orders</t>
  </si>
  <si>
    <t>Avg. Safety Stock</t>
  </si>
  <si>
    <t>σ(DL)=</t>
  </si>
  <si>
    <t>μ(DL)=</t>
  </si>
  <si>
    <t>k σ(DL)=</t>
  </si>
  <si>
    <t xml:space="preserve">    Safety Stock Cost</t>
  </si>
  <si>
    <t xml:space="preserve">    Cycle Stock Cost</t>
  </si>
  <si>
    <t># of Stops in District</t>
  </si>
  <si>
    <t>Estimating Transportation Costs for a District</t>
  </si>
  <si>
    <t>E[n]=</t>
  </si>
  <si>
    <t>Q_max</t>
  </si>
  <si>
    <t>c(d)</t>
  </si>
  <si>
    <t>c(s)</t>
  </si>
  <si>
    <t>c(vs)</t>
  </si>
  <si>
    <t>stops</t>
  </si>
  <si>
    <t>units/district</t>
  </si>
  <si>
    <t>$/mile</t>
  </si>
  <si>
    <t>$/item/stop</t>
  </si>
  <si>
    <t>$/stop</t>
  </si>
  <si>
    <t>District Demand</t>
  </si>
  <si>
    <t>Capacity of each truck</t>
  </si>
  <si>
    <t>Cost per stop</t>
  </si>
  <si>
    <t>Cost per distance</t>
  </si>
  <si>
    <t>Cost per unit per stop</t>
  </si>
  <si>
    <t>E[D]=</t>
  </si>
  <si>
    <t>Outputs</t>
  </si>
  <si>
    <t>Density (# stop/area)</t>
  </si>
  <si>
    <t>σ=</t>
  </si>
  <si>
    <t>TSP network factor</t>
  </si>
  <si>
    <t>k(TSP)=</t>
  </si>
  <si>
    <t>d(TSP)=</t>
  </si>
  <si>
    <t>d(stop)=</t>
  </si>
  <si>
    <t>Traveling Salesman Distance</t>
  </si>
  <si>
    <t>Average distance per stop</t>
  </si>
  <si>
    <t>Line haul distance</t>
  </si>
  <si>
    <t>d(linehaul)=</t>
  </si>
  <si>
    <t>Tours per day</t>
  </si>
  <si>
    <t>E[l]=</t>
  </si>
  <si>
    <t>Stop (load/unload) cost per day</t>
  </si>
  <si>
    <t>c(s)*(E[n]+E[l])=</t>
  </si>
  <si>
    <t>Item/stop costs per day</t>
  </si>
  <si>
    <t>c(vs)*E[D]=</t>
  </si>
  <si>
    <t>Total Daily Costs</t>
  </si>
  <si>
    <t>Distance (linehaul) cost per day</t>
  </si>
  <si>
    <t>Distance (district) cost per day</t>
  </si>
  <si>
    <t>c(d)*2*E[l]*d(linehaul)=</t>
  </si>
  <si>
    <t>c(d)*d(TSP)=</t>
  </si>
  <si>
    <t>Stdev Demad</t>
  </si>
  <si>
    <r>
      <t>σ</t>
    </r>
    <r>
      <rPr>
        <vertAlign val="subscript"/>
        <sz val="11"/>
        <color theme="1"/>
        <rFont val="Calibri"/>
        <family val="2"/>
      </rPr>
      <t>D</t>
    </r>
  </si>
  <si>
    <r>
      <t>μ</t>
    </r>
    <r>
      <rPr>
        <vertAlign val="subscript"/>
        <sz val="11"/>
        <color theme="1"/>
        <rFont val="Calibri"/>
        <family val="2"/>
      </rPr>
      <t>D</t>
    </r>
  </si>
  <si>
    <t>unit/time</t>
  </si>
  <si>
    <t>Review Time</t>
  </si>
  <si>
    <t>R=</t>
  </si>
  <si>
    <t>Associated Values</t>
  </si>
  <si>
    <t>Order Up to Level</t>
  </si>
  <si>
    <t>Associated values</t>
  </si>
  <si>
    <t>#1</t>
  </si>
  <si>
    <t>SS</t>
  </si>
  <si>
    <t>#2</t>
  </si>
  <si>
    <t>MIN</t>
  </si>
  <si>
    <t>MAX</t>
  </si>
  <si>
    <t>Var[x]=</t>
  </si>
  <si>
    <t>Stdev[x]=</t>
  </si>
  <si>
    <t>Triangle Distribution</t>
  </si>
  <si>
    <t>Distribution</t>
  </si>
  <si>
    <t>d=</t>
  </si>
  <si>
    <t>Mode</t>
  </si>
  <si>
    <t>a</t>
  </si>
  <si>
    <t>b</t>
  </si>
  <si>
    <t>c</t>
  </si>
  <si>
    <t xml:space="preserve">  f(d)=</t>
  </si>
  <si>
    <t xml:space="preserve">    d &lt; c</t>
  </si>
  <si>
    <t xml:space="preserve">    d &gt; c</t>
  </si>
  <si>
    <t xml:space="preserve">  P(x&lt;=d)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</si>
</sst>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00"/>
    <numFmt numFmtId="165" formatCode="0.0"/>
    <numFmt numFmtId="166" formatCode="0.000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vertAlign val="subscript"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44" fontId="0" fillId="0" borderId="0" xfId="1" applyFont="1"/>
    <xf numFmtId="2" fontId="0" fillId="3" borderId="0" xfId="0" applyNumberFormat="1" applyFill="1"/>
    <xf numFmtId="0" fontId="0" fillId="0" borderId="0" xfId="0" applyFill="1"/>
    <xf numFmtId="0" fontId="0" fillId="4" borderId="0" xfId="0" applyFill="1"/>
    <xf numFmtId="2" fontId="0" fillId="0" borderId="0" xfId="0" applyNumberFormat="1" applyFill="1"/>
    <xf numFmtId="165" fontId="0" fillId="0" borderId="0" xfId="0" applyNumberFormat="1" applyFill="1"/>
    <xf numFmtId="165" fontId="0" fillId="0" borderId="0" xfId="0" applyNumberFormat="1"/>
    <xf numFmtId="166" fontId="0" fillId="0" borderId="0" xfId="0" applyNumberFormat="1" applyFill="1"/>
    <xf numFmtId="0" fontId="4" fillId="0" borderId="0" xfId="0" applyFont="1"/>
    <xf numFmtId="0" fontId="0" fillId="5" borderId="0" xfId="0" applyFill="1"/>
    <xf numFmtId="0" fontId="0" fillId="0" borderId="1" xfId="0" applyBorder="1"/>
    <xf numFmtId="0" fontId="0" fillId="0" borderId="0" xfId="0" applyFill="1" applyBorder="1"/>
    <xf numFmtId="9" fontId="0" fillId="0" borderId="0" xfId="0" applyNumberFormat="1"/>
    <xf numFmtId="0" fontId="0" fillId="3" borderId="0" xfId="0" applyFill="1" applyBorder="1"/>
    <xf numFmtId="10" fontId="0" fillId="0" borderId="0" xfId="2" applyNumberFormat="1" applyFont="1" applyBorder="1"/>
    <xf numFmtId="2" fontId="0" fillId="0" borderId="0" xfId="0" applyNumberFormat="1" applyFill="1" applyBorder="1"/>
    <xf numFmtId="167" fontId="0" fillId="0" borderId="0" xfId="2" applyNumberFormat="1" applyFont="1" applyBorder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6" borderId="0" xfId="0" applyFill="1"/>
    <xf numFmtId="44" fontId="0" fillId="0" borderId="0" xfId="0" applyNumberFormat="1"/>
    <xf numFmtId="0" fontId="0" fillId="2" borderId="0" xfId="0" applyFill="1" applyBorder="1"/>
    <xf numFmtId="0" fontId="0" fillId="7" borderId="0" xfId="0" applyFill="1"/>
    <xf numFmtId="165" fontId="0" fillId="7" borderId="0" xfId="0" applyNumberFormat="1" applyFill="1"/>
    <xf numFmtId="1" fontId="0" fillId="0" borderId="0" xfId="0" applyNumberFormat="1"/>
    <xf numFmtId="1" fontId="0" fillId="3" borderId="0" xfId="0" applyNumberFormat="1" applyFill="1"/>
    <xf numFmtId="164" fontId="0" fillId="7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C25" sqref="C25:C26"/>
    </sheetView>
  </sheetViews>
  <sheetFormatPr defaultRowHeight="15" x14ac:dyDescent="0.25"/>
  <cols>
    <col min="1" max="1" width="24.42578125" customWidth="1"/>
    <col min="2" max="2" width="7.42578125" customWidth="1"/>
    <col min="3" max="3" width="14.42578125" customWidth="1"/>
    <col min="4" max="4" width="12.28515625" customWidth="1"/>
    <col min="5" max="5" width="11.5703125" customWidth="1"/>
  </cols>
  <sheetData>
    <row r="1" spans="1:6" ht="14.45" x14ac:dyDescent="0.3">
      <c r="A1" s="3" t="s">
        <v>12</v>
      </c>
    </row>
    <row r="3" spans="1:6" ht="14.45" x14ac:dyDescent="0.3">
      <c r="A3" t="s">
        <v>29</v>
      </c>
      <c r="B3" t="s">
        <v>30</v>
      </c>
      <c r="C3" s="1">
        <v>125</v>
      </c>
      <c r="D3" t="s">
        <v>31</v>
      </c>
      <c r="E3" t="s">
        <v>32</v>
      </c>
    </row>
    <row r="4" spans="1:6" ht="14.45" x14ac:dyDescent="0.3">
      <c r="A4" t="s">
        <v>1</v>
      </c>
      <c r="B4" t="s">
        <v>0</v>
      </c>
      <c r="C4" s="1">
        <f>370*12</f>
        <v>4440</v>
      </c>
      <c r="D4" t="s">
        <v>2</v>
      </c>
    </row>
    <row r="5" spans="1:6" ht="15.6" x14ac:dyDescent="0.35">
      <c r="A5" t="s">
        <v>18</v>
      </c>
      <c r="B5" t="s">
        <v>16</v>
      </c>
      <c r="C5" s="1">
        <f>45+108</f>
        <v>153</v>
      </c>
      <c r="D5" t="s">
        <v>3</v>
      </c>
    </row>
    <row r="6" spans="1:6" ht="18" x14ac:dyDescent="0.35">
      <c r="A6" t="s">
        <v>4</v>
      </c>
      <c r="B6" t="s">
        <v>147</v>
      </c>
      <c r="C6" s="1">
        <f>0.26*C3</f>
        <v>32.5</v>
      </c>
      <c r="D6" t="s">
        <v>21</v>
      </c>
    </row>
    <row r="7" spans="1:6" ht="14.45" x14ac:dyDescent="0.3">
      <c r="A7" t="s">
        <v>19</v>
      </c>
      <c r="B7" t="s">
        <v>20</v>
      </c>
      <c r="C7" s="1">
        <v>0</v>
      </c>
      <c r="D7" t="s">
        <v>22</v>
      </c>
      <c r="E7" t="s">
        <v>35</v>
      </c>
    </row>
    <row r="8" spans="1:6" ht="14.45" x14ac:dyDescent="0.3">
      <c r="A8" t="s">
        <v>5</v>
      </c>
      <c r="B8" t="s">
        <v>7</v>
      </c>
      <c r="C8" s="7">
        <v>340</v>
      </c>
      <c r="D8" t="s">
        <v>15</v>
      </c>
      <c r="E8" t="s">
        <v>156</v>
      </c>
    </row>
    <row r="10" spans="1:6" x14ac:dyDescent="0.25">
      <c r="A10" s="3" t="s">
        <v>14</v>
      </c>
    </row>
    <row r="11" spans="1:6" ht="14.45" x14ac:dyDescent="0.3">
      <c r="A11" t="s">
        <v>33</v>
      </c>
      <c r="B11" t="s">
        <v>34</v>
      </c>
      <c r="C11" s="6">
        <f>C12+C13</f>
        <v>562523</v>
      </c>
      <c r="D11" t="s">
        <v>148</v>
      </c>
      <c r="E11" s="6"/>
    </row>
    <row r="12" spans="1:6" ht="14.45" x14ac:dyDescent="0.3">
      <c r="A12" t="s">
        <v>149</v>
      </c>
      <c r="B12" t="s">
        <v>150</v>
      </c>
      <c r="C12" s="6">
        <f>C3*C4</f>
        <v>555000</v>
      </c>
      <c r="D12" t="s">
        <v>148</v>
      </c>
      <c r="E12" s="6">
        <f>C13*5*4*12</f>
        <v>1805520</v>
      </c>
      <c r="F12">
        <v>1529.1407871198569</v>
      </c>
    </row>
    <row r="13" spans="1:6" ht="14.45" x14ac:dyDescent="0.3">
      <c r="A13" t="s">
        <v>151</v>
      </c>
      <c r="B13" t="s">
        <v>152</v>
      </c>
      <c r="C13" s="6">
        <f>SUM(C14:C16)</f>
        <v>7523</v>
      </c>
      <c r="D13" t="s">
        <v>148</v>
      </c>
      <c r="E13" s="6"/>
      <c r="F13" s="27"/>
    </row>
    <row r="14" spans="1:6" ht="14.45" x14ac:dyDescent="0.3">
      <c r="A14" t="s">
        <v>153</v>
      </c>
      <c r="C14" s="6">
        <f>C5*C4/C8</f>
        <v>1998</v>
      </c>
      <c r="D14" t="s">
        <v>148</v>
      </c>
      <c r="E14" s="6"/>
    </row>
    <row r="15" spans="1:6" ht="14.45" x14ac:dyDescent="0.3">
      <c r="A15" t="s">
        <v>154</v>
      </c>
      <c r="C15" s="6">
        <f>(C6*C8/2)</f>
        <v>5525</v>
      </c>
      <c r="D15" t="s">
        <v>148</v>
      </c>
      <c r="E15" s="6"/>
    </row>
    <row r="16" spans="1:6" ht="14.45" x14ac:dyDescent="0.3">
      <c r="A16" t="s">
        <v>155</v>
      </c>
      <c r="C16" s="6">
        <f>(C6*C4*C7)</f>
        <v>0</v>
      </c>
      <c r="D16" t="s">
        <v>148</v>
      </c>
      <c r="E16" s="6"/>
    </row>
    <row r="17" spans="1:5" ht="14.45" x14ac:dyDescent="0.3">
      <c r="A17" t="s">
        <v>8</v>
      </c>
      <c r="B17" t="s">
        <v>9</v>
      </c>
      <c r="C17" s="5">
        <f>C8/C4</f>
        <v>7.6576576576576572E-2</v>
      </c>
      <c r="D17" t="s">
        <v>22</v>
      </c>
      <c r="E17" s="5"/>
    </row>
    <row r="18" spans="1:5" x14ac:dyDescent="0.25">
      <c r="A18" t="s">
        <v>27</v>
      </c>
      <c r="B18" t="s">
        <v>26</v>
      </c>
      <c r="C18">
        <f>C20</f>
        <v>0</v>
      </c>
      <c r="D18" t="s">
        <v>41</v>
      </c>
    </row>
    <row r="19" spans="1:5" x14ac:dyDescent="0.25">
      <c r="A19" t="s">
        <v>23</v>
      </c>
      <c r="B19" t="s">
        <v>25</v>
      </c>
      <c r="C19">
        <f>C8/2</f>
        <v>170</v>
      </c>
      <c r="D19" t="s">
        <v>41</v>
      </c>
    </row>
    <row r="20" spans="1:5" x14ac:dyDescent="0.25">
      <c r="A20" t="s">
        <v>24</v>
      </c>
      <c r="B20" t="s">
        <v>26</v>
      </c>
      <c r="C20">
        <f>C4*C7</f>
        <v>0</v>
      </c>
      <c r="D20" t="s">
        <v>41</v>
      </c>
    </row>
    <row r="22" spans="1:5" x14ac:dyDescent="0.25">
      <c r="A22" s="26" t="s">
        <v>28</v>
      </c>
    </row>
    <row r="23" spans="1:5" x14ac:dyDescent="0.25">
      <c r="A23" t="s">
        <v>5</v>
      </c>
      <c r="B23" t="s">
        <v>6</v>
      </c>
      <c r="C23" s="4">
        <f>SQRT(2*C5*C4/C6)</f>
        <v>204.46101753710337</v>
      </c>
    </row>
    <row r="24" spans="1:5" x14ac:dyDescent="0.25">
      <c r="A24" t="s">
        <v>8</v>
      </c>
      <c r="B24" t="s">
        <v>13</v>
      </c>
      <c r="C24" s="5">
        <f>C23/C4</f>
        <v>4.6049778724572832E-2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8"/>
  <sheetViews>
    <sheetView topLeftCell="A33" workbookViewId="0">
      <selection activeCell="I52" sqref="I52"/>
    </sheetView>
  </sheetViews>
  <sheetFormatPr defaultRowHeight="15" x14ac:dyDescent="0.25"/>
  <cols>
    <col min="1" max="1" width="20.85546875" customWidth="1"/>
    <col min="2" max="2" width="13.85546875" customWidth="1"/>
    <col min="3" max="3" width="12.28515625" customWidth="1"/>
    <col min="4" max="4" width="11.28515625" customWidth="1"/>
  </cols>
  <sheetData>
    <row r="1" spans="1:4" ht="14.45" x14ac:dyDescent="0.3">
      <c r="A1" s="3" t="s">
        <v>119</v>
      </c>
    </row>
    <row r="2" spans="1:4" ht="14.45" x14ac:dyDescent="0.3">
      <c r="A2" t="s">
        <v>120</v>
      </c>
    </row>
    <row r="4" spans="1:4" x14ac:dyDescent="0.25">
      <c r="A4" s="16" t="s">
        <v>158</v>
      </c>
      <c r="B4" s="16"/>
      <c r="C4" s="16"/>
    </row>
    <row r="5" spans="1:4" ht="18" x14ac:dyDescent="0.35">
      <c r="A5" t="s">
        <v>67</v>
      </c>
      <c r="B5" s="14" t="s">
        <v>231</v>
      </c>
      <c r="C5" s="1">
        <v>1250</v>
      </c>
      <c r="D5" t="s">
        <v>232</v>
      </c>
    </row>
    <row r="6" spans="1:4" ht="18" x14ac:dyDescent="0.35">
      <c r="A6" t="s">
        <v>229</v>
      </c>
      <c r="B6" s="14" t="s">
        <v>230</v>
      </c>
      <c r="C6" s="1">
        <v>200</v>
      </c>
      <c r="D6" t="s">
        <v>232</v>
      </c>
    </row>
    <row r="7" spans="1:4" x14ac:dyDescent="0.25">
      <c r="A7" t="s">
        <v>19</v>
      </c>
      <c r="B7" s="14" t="s">
        <v>20</v>
      </c>
      <c r="C7" s="1">
        <v>5</v>
      </c>
      <c r="D7" t="s">
        <v>22</v>
      </c>
    </row>
    <row r="8" spans="1:4" x14ac:dyDescent="0.25">
      <c r="A8" t="s">
        <v>233</v>
      </c>
      <c r="B8" s="14" t="s">
        <v>234</v>
      </c>
      <c r="C8" s="1">
        <f>20</f>
        <v>20</v>
      </c>
      <c r="D8" t="s">
        <v>22</v>
      </c>
    </row>
    <row r="10" spans="1:4" x14ac:dyDescent="0.25">
      <c r="A10" s="16" t="s">
        <v>235</v>
      </c>
      <c r="B10" s="16"/>
      <c r="C10" s="16"/>
    </row>
    <row r="11" spans="1:4" ht="18" x14ac:dyDescent="0.35">
      <c r="A11" t="s">
        <v>123</v>
      </c>
      <c r="B11" s="14" t="s">
        <v>121</v>
      </c>
      <c r="C11" s="29">
        <f>C5*(C7+C8)</f>
        <v>31250</v>
      </c>
    </row>
    <row r="12" spans="1:4" ht="18" x14ac:dyDescent="0.35">
      <c r="A12" t="s">
        <v>124</v>
      </c>
      <c r="B12" s="14" t="s">
        <v>122</v>
      </c>
      <c r="C12" s="29">
        <f>C6*SQRT(C7+C8)</f>
        <v>1000</v>
      </c>
    </row>
    <row r="13" spans="1:4" ht="18" x14ac:dyDescent="0.35">
      <c r="A13" t="s">
        <v>125</v>
      </c>
      <c r="B13" t="s">
        <v>126</v>
      </c>
      <c r="C13" s="29">
        <f>C5*C8</f>
        <v>25000</v>
      </c>
    </row>
    <row r="15" spans="1:4" ht="14.45" x14ac:dyDescent="0.3">
      <c r="A15" s="16" t="s">
        <v>76</v>
      </c>
      <c r="B15" s="16"/>
      <c r="C15" s="16"/>
    </row>
    <row r="16" spans="1:4" ht="14.45" x14ac:dyDescent="0.3">
      <c r="A16" t="s">
        <v>77</v>
      </c>
      <c r="B16" t="s">
        <v>78</v>
      </c>
      <c r="C16" s="1">
        <v>0.95</v>
      </c>
    </row>
    <row r="17" spans="1:4" ht="14.45" x14ac:dyDescent="0.3">
      <c r="A17" t="s">
        <v>83</v>
      </c>
      <c r="B17" t="s">
        <v>59</v>
      </c>
      <c r="C17">
        <f>_xlfn.NORM.INV(C16,0,1)</f>
        <v>1.6448536269514715</v>
      </c>
    </row>
    <row r="18" spans="1:4" ht="14.45" x14ac:dyDescent="0.3">
      <c r="A18" t="s">
        <v>236</v>
      </c>
      <c r="B18" t="s">
        <v>170</v>
      </c>
      <c r="C18">
        <f>C11+C12*C17</f>
        <v>32894.853626951473</v>
      </c>
    </row>
    <row r="20" spans="1:4" ht="14.45" x14ac:dyDescent="0.3">
      <c r="A20" s="16" t="s">
        <v>84</v>
      </c>
      <c r="B20" s="16"/>
      <c r="C20" s="16"/>
    </row>
    <row r="21" spans="1:4" ht="15.6" x14ac:dyDescent="0.35">
      <c r="A21" t="s">
        <v>85</v>
      </c>
      <c r="B21" t="s">
        <v>86</v>
      </c>
      <c r="C21" s="1">
        <v>170</v>
      </c>
      <c r="D21" t="s">
        <v>89</v>
      </c>
    </row>
    <row r="22" spans="1:4" ht="14.45" x14ac:dyDescent="0.3">
      <c r="A22" t="s">
        <v>87</v>
      </c>
      <c r="B22" t="s">
        <v>88</v>
      </c>
      <c r="C22" s="1">
        <f>1.25/4</f>
        <v>0.3125</v>
      </c>
      <c r="D22" t="s">
        <v>90</v>
      </c>
    </row>
    <row r="23" spans="1:4" ht="14.45" x14ac:dyDescent="0.3">
      <c r="A23" t="s">
        <v>83</v>
      </c>
      <c r="B23" t="s">
        <v>59</v>
      </c>
      <c r="C23" t="e">
        <f>SQRT(2*LN((C21*C11)/(C22*C12*C13*SQRT(2*PI()))))</f>
        <v>#NUM!</v>
      </c>
    </row>
    <row r="24" spans="1:4" x14ac:dyDescent="0.25">
      <c r="A24" t="s">
        <v>236</v>
      </c>
      <c r="B24" t="s">
        <v>170</v>
      </c>
      <c r="C24" t="e">
        <f>C11+C12*C23</f>
        <v>#NUM!</v>
      </c>
    </row>
    <row r="26" spans="1:4" x14ac:dyDescent="0.25">
      <c r="A26" s="16" t="s">
        <v>91</v>
      </c>
      <c r="B26" s="16"/>
      <c r="C26" s="16"/>
    </row>
    <row r="27" spans="1:4" x14ac:dyDescent="0.25">
      <c r="A27" t="s">
        <v>92</v>
      </c>
      <c r="B27" t="s">
        <v>93</v>
      </c>
      <c r="C27" s="1">
        <v>0.998</v>
      </c>
    </row>
    <row r="28" spans="1:4" x14ac:dyDescent="0.25">
      <c r="A28" t="s">
        <v>94</v>
      </c>
      <c r="B28" t="s">
        <v>96</v>
      </c>
      <c r="C28">
        <f>C13/C12*(1-C27)</f>
        <v>5.0000000000000044E-2</v>
      </c>
    </row>
    <row r="29" spans="1:4" x14ac:dyDescent="0.25">
      <c r="A29" t="s">
        <v>97</v>
      </c>
      <c r="B29" t="s">
        <v>59</v>
      </c>
      <c r="C29" s="15">
        <v>1.71</v>
      </c>
      <c r="D29" t="s">
        <v>98</v>
      </c>
    </row>
    <row r="30" spans="1:4" x14ac:dyDescent="0.25">
      <c r="A30" t="s">
        <v>102</v>
      </c>
      <c r="B30" t="s">
        <v>95</v>
      </c>
      <c r="C30" s="15">
        <f>_xlfn.NORM.S.DIST(C29,FALSE)-C29*(1-_xlfn.NORM.S.DIST(C29,TRUE))</f>
        <v>1.7846811940486165E-2</v>
      </c>
    </row>
    <row r="31" spans="1:4" x14ac:dyDescent="0.25">
      <c r="A31" t="s">
        <v>99</v>
      </c>
      <c r="B31" t="s">
        <v>100</v>
      </c>
      <c r="C31" s="15">
        <f>C28-C30</f>
        <v>3.2153188059513879E-2</v>
      </c>
      <c r="D31" t="s">
        <v>101</v>
      </c>
    </row>
    <row r="32" spans="1:4" x14ac:dyDescent="0.25">
      <c r="A32" t="s">
        <v>236</v>
      </c>
      <c r="B32" t="s">
        <v>170</v>
      </c>
      <c r="C32" s="15">
        <f>C11+C12*C29</f>
        <v>32960</v>
      </c>
    </row>
    <row r="33" spans="1:4" x14ac:dyDescent="0.25">
      <c r="C33">
        <f>1-((C12*C30)/C13)</f>
        <v>0.99928612752238055</v>
      </c>
    </row>
    <row r="35" spans="1:4" x14ac:dyDescent="0.25">
      <c r="A35" s="16" t="s">
        <v>103</v>
      </c>
      <c r="B35" s="16"/>
      <c r="C35" s="16"/>
    </row>
    <row r="36" spans="1:4" ht="18" x14ac:dyDescent="0.35">
      <c r="A36" s="17" t="s">
        <v>131</v>
      </c>
      <c r="B36" s="25" t="s">
        <v>132</v>
      </c>
      <c r="C36" s="28">
        <v>2400</v>
      </c>
    </row>
    <row r="37" spans="1:4" x14ac:dyDescent="0.25">
      <c r="A37" t="s">
        <v>104</v>
      </c>
      <c r="B37" t="s">
        <v>105</v>
      </c>
      <c r="C37" s="1">
        <v>6</v>
      </c>
      <c r="D37" t="s">
        <v>31</v>
      </c>
    </row>
    <row r="38" spans="1:4" x14ac:dyDescent="0.25">
      <c r="A38" t="s">
        <v>87</v>
      </c>
      <c r="B38" t="s">
        <v>88</v>
      </c>
      <c r="C38" s="1">
        <v>2.5</v>
      </c>
      <c r="D38" t="s">
        <v>129</v>
      </c>
    </row>
    <row r="39" spans="1:4" x14ac:dyDescent="0.25">
      <c r="A39" t="s">
        <v>106</v>
      </c>
      <c r="B39" t="s">
        <v>107</v>
      </c>
      <c r="C39">
        <f>C13/C36*C38/C37</f>
        <v>4.3402777777777777</v>
      </c>
    </row>
    <row r="40" spans="1:4" x14ac:dyDescent="0.25">
      <c r="A40" t="s">
        <v>83</v>
      </c>
      <c r="B40" t="s">
        <v>108</v>
      </c>
      <c r="C40" t="e">
        <f>_xlfn.NORM.INV(1-C39,0,1)</f>
        <v>#NUM!</v>
      </c>
    </row>
    <row r="41" spans="1:4" x14ac:dyDescent="0.25">
      <c r="A41" t="s">
        <v>118</v>
      </c>
      <c r="B41" t="s">
        <v>170</v>
      </c>
      <c r="C41" t="e">
        <f>C11+C12*C40</f>
        <v>#NUM!</v>
      </c>
    </row>
    <row r="43" spans="1:4" x14ac:dyDescent="0.25">
      <c r="A43" s="16" t="s">
        <v>109</v>
      </c>
      <c r="B43" s="16"/>
      <c r="C43" s="16"/>
    </row>
    <row r="44" spans="1:4" x14ac:dyDescent="0.25">
      <c r="A44" t="s">
        <v>236</v>
      </c>
      <c r="B44" t="s">
        <v>170</v>
      </c>
      <c r="C44" s="19">
        <v>32960</v>
      </c>
    </row>
    <row r="45" spans="1:4" x14ac:dyDescent="0.25">
      <c r="A45" s="17" t="s">
        <v>117</v>
      </c>
      <c r="B45" s="17" t="s">
        <v>59</v>
      </c>
      <c r="C45" s="21">
        <f>(C44-C11)/C12</f>
        <v>1.71</v>
      </c>
    </row>
    <row r="46" spans="1:4" x14ac:dyDescent="0.25">
      <c r="A46" s="17" t="s">
        <v>116</v>
      </c>
      <c r="B46" s="17" t="s">
        <v>95</v>
      </c>
      <c r="C46" s="21">
        <f>_xlfn.NORM.DIST(C45,0,1,FALSE)-C45*(1-_xlfn.NORM.DIST(C45,0,1,TRUE))</f>
        <v>1.7846811940486165E-2</v>
      </c>
    </row>
    <row r="47" spans="1:4" x14ac:dyDescent="0.25">
      <c r="A47" s="17" t="s">
        <v>77</v>
      </c>
      <c r="B47" s="17" t="s">
        <v>78</v>
      </c>
      <c r="C47" s="20">
        <f>_xlfn.NORM.DIST(C44,C11,C12,TRUE)</f>
        <v>0.95636706347596812</v>
      </c>
    </row>
    <row r="48" spans="1:4" x14ac:dyDescent="0.25">
      <c r="A48" s="17" t="s">
        <v>92</v>
      </c>
      <c r="B48" s="17" t="s">
        <v>93</v>
      </c>
      <c r="C48" s="22">
        <f>1-(C12*C46/C13)</f>
        <v>0.99928612752238055</v>
      </c>
    </row>
    <row r="49" spans="1:9" x14ac:dyDescent="0.25">
      <c r="A49" s="17"/>
    </row>
    <row r="50" spans="1:9" x14ac:dyDescent="0.25">
      <c r="A50" s="17" t="s">
        <v>133</v>
      </c>
    </row>
    <row r="51" spans="1:9" x14ac:dyDescent="0.25">
      <c r="A51" s="17"/>
      <c r="B51" s="24" t="s">
        <v>113</v>
      </c>
      <c r="C51" s="24" t="s">
        <v>114</v>
      </c>
      <c r="D51" s="24" t="s">
        <v>112</v>
      </c>
      <c r="G51" s="24" t="s">
        <v>238</v>
      </c>
      <c r="H51" s="24" t="s">
        <v>240</v>
      </c>
    </row>
    <row r="52" spans="1:9" x14ac:dyDescent="0.25">
      <c r="A52" s="17" t="s">
        <v>110</v>
      </c>
      <c r="B52" s="1">
        <v>2.5</v>
      </c>
      <c r="C52" s="12">
        <f>C13/2</f>
        <v>12500</v>
      </c>
      <c r="D52" s="23">
        <f>B52*C52</f>
        <v>31250</v>
      </c>
      <c r="F52" t="s">
        <v>239</v>
      </c>
      <c r="G52">
        <v>1710</v>
      </c>
      <c r="H52">
        <v>765</v>
      </c>
      <c r="I52">
        <f>G52-H52</f>
        <v>945</v>
      </c>
    </row>
    <row r="53" spans="1:9" x14ac:dyDescent="0.25">
      <c r="A53" s="17" t="s">
        <v>79</v>
      </c>
      <c r="B53" s="1">
        <v>2.5</v>
      </c>
      <c r="C53" s="12">
        <f>C45*C12</f>
        <v>1710</v>
      </c>
      <c r="D53" s="23">
        <f t="shared" ref="D53:D54" si="0">B53*C53</f>
        <v>4275</v>
      </c>
      <c r="I53">
        <f>I52*0.25*0.12</f>
        <v>28.349999999999998</v>
      </c>
    </row>
    <row r="54" spans="1:9" x14ac:dyDescent="0.25">
      <c r="A54" s="17" t="s">
        <v>111</v>
      </c>
      <c r="B54" s="1">
        <v>0</v>
      </c>
      <c r="C54" s="12">
        <f>C11</f>
        <v>31250</v>
      </c>
      <c r="D54" s="23">
        <f t="shared" si="0"/>
        <v>0</v>
      </c>
    </row>
    <row r="55" spans="1:9" x14ac:dyDescent="0.25">
      <c r="A55" s="17" t="s">
        <v>115</v>
      </c>
      <c r="D55" s="23">
        <f>SUM(D52:D54)</f>
        <v>35525</v>
      </c>
    </row>
    <row r="57" spans="1:9" x14ac:dyDescent="0.25">
      <c r="A57" s="18" t="s">
        <v>134</v>
      </c>
    </row>
    <row r="59" spans="1:9" x14ac:dyDescent="0.25">
      <c r="A59" t="s">
        <v>137</v>
      </c>
      <c r="B59" t="s">
        <v>138</v>
      </c>
      <c r="C59" s="1">
        <v>2400</v>
      </c>
      <c r="D59" t="s">
        <v>159</v>
      </c>
    </row>
    <row r="60" spans="1:9" x14ac:dyDescent="0.25">
      <c r="A60" t="s">
        <v>160</v>
      </c>
      <c r="B60" t="s">
        <v>30</v>
      </c>
      <c r="C60" s="1">
        <v>10</v>
      </c>
      <c r="D60" t="s">
        <v>31</v>
      </c>
    </row>
    <row r="61" spans="1:9" x14ac:dyDescent="0.25">
      <c r="A61" t="s">
        <v>139</v>
      </c>
      <c r="B61" t="s">
        <v>140</v>
      </c>
      <c r="C61" s="1">
        <v>5</v>
      </c>
      <c r="D61" t="s">
        <v>3</v>
      </c>
    </row>
    <row r="62" spans="1:9" x14ac:dyDescent="0.25">
      <c r="A62" t="s">
        <v>135</v>
      </c>
      <c r="B62" t="s">
        <v>136</v>
      </c>
      <c r="C62">
        <f>C59/C13</f>
        <v>9.6000000000000002E-2</v>
      </c>
      <c r="D62" t="s">
        <v>164</v>
      </c>
    </row>
    <row r="63" spans="1:9" x14ac:dyDescent="0.25">
      <c r="A63" t="s">
        <v>161</v>
      </c>
      <c r="B63" t="s">
        <v>162</v>
      </c>
      <c r="C63">
        <f>C59*C60</f>
        <v>24000</v>
      </c>
      <c r="D63" t="s">
        <v>130</v>
      </c>
    </row>
    <row r="64" spans="1:9" x14ac:dyDescent="0.25">
      <c r="A64" t="s">
        <v>171</v>
      </c>
      <c r="B64" t="s">
        <v>163</v>
      </c>
      <c r="C64">
        <f>C62*C61</f>
        <v>0.48</v>
      </c>
      <c r="D64" t="s">
        <v>130</v>
      </c>
    </row>
    <row r="66" spans="1:4" x14ac:dyDescent="0.25">
      <c r="A66" t="s">
        <v>142</v>
      </c>
    </row>
    <row r="67" spans="1:4" x14ac:dyDescent="0.25">
      <c r="A67" t="s">
        <v>143</v>
      </c>
      <c r="C67">
        <f>C59*(1-C48)</f>
        <v>1.7132939462866759</v>
      </c>
    </row>
    <row r="68" spans="1:4" x14ac:dyDescent="0.25">
      <c r="A68" t="s">
        <v>144</v>
      </c>
      <c r="B68" t="s">
        <v>145</v>
      </c>
      <c r="C68" s="1">
        <v>6</v>
      </c>
    </row>
    <row r="69" spans="1:4" x14ac:dyDescent="0.25">
      <c r="A69" t="s">
        <v>33</v>
      </c>
      <c r="C69">
        <f>C67*C68</f>
        <v>10.279763677720055</v>
      </c>
    </row>
    <row r="71" spans="1:4" x14ac:dyDescent="0.25">
      <c r="A71" t="s">
        <v>146</v>
      </c>
      <c r="C71" s="23">
        <f>D55+C64+C69</f>
        <v>35535.759763677721</v>
      </c>
    </row>
    <row r="73" spans="1:4" x14ac:dyDescent="0.25">
      <c r="A73" s="3" t="s">
        <v>14</v>
      </c>
    </row>
    <row r="74" spans="1:4" x14ac:dyDescent="0.25">
      <c r="A74" t="s">
        <v>33</v>
      </c>
      <c r="B74" t="s">
        <v>34</v>
      </c>
      <c r="C74" s="6">
        <f>SUM(C75:C78)</f>
        <v>59535.759763677721</v>
      </c>
      <c r="D74" t="s">
        <v>148</v>
      </c>
    </row>
    <row r="75" spans="1:4" x14ac:dyDescent="0.25">
      <c r="A75" t="s">
        <v>168</v>
      </c>
      <c r="C75" s="6">
        <f>D55</f>
        <v>35525</v>
      </c>
    </row>
    <row r="76" spans="1:4" x14ac:dyDescent="0.25">
      <c r="A76" t="s">
        <v>149</v>
      </c>
      <c r="B76" t="s">
        <v>150</v>
      </c>
      <c r="C76" s="6">
        <f>C63</f>
        <v>24000</v>
      </c>
      <c r="D76" t="s">
        <v>148</v>
      </c>
    </row>
    <row r="77" spans="1:4" x14ac:dyDescent="0.25">
      <c r="A77" t="s">
        <v>167</v>
      </c>
      <c r="C77" s="6">
        <f>C64</f>
        <v>0.48</v>
      </c>
      <c r="D77" t="s">
        <v>148</v>
      </c>
    </row>
    <row r="78" spans="1:4" x14ac:dyDescent="0.25">
      <c r="A78" t="s">
        <v>169</v>
      </c>
      <c r="C78" s="6">
        <f>C69</f>
        <v>10.279763677720055</v>
      </c>
      <c r="D78" t="s">
        <v>148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3" workbookViewId="0">
      <selection activeCell="B14" sqref="B14"/>
    </sheetView>
  </sheetViews>
  <sheetFormatPr defaultRowHeight="15" x14ac:dyDescent="0.25"/>
  <cols>
    <col min="2" max="2" width="15" customWidth="1"/>
  </cols>
  <sheetData>
    <row r="1" spans="1:3" x14ac:dyDescent="0.25">
      <c r="A1" t="s">
        <v>245</v>
      </c>
    </row>
    <row r="3" spans="1:3" x14ac:dyDescent="0.25">
      <c r="A3" s="16" t="s">
        <v>158</v>
      </c>
      <c r="B3" s="16"/>
    </row>
    <row r="4" spans="1:3" x14ac:dyDescent="0.25">
      <c r="A4" t="s">
        <v>241</v>
      </c>
      <c r="B4" s="1">
        <f>130*48</f>
        <v>6240</v>
      </c>
      <c r="C4" t="s">
        <v>249</v>
      </c>
    </row>
    <row r="5" spans="1:3" x14ac:dyDescent="0.25">
      <c r="A5" t="s">
        <v>242</v>
      </c>
      <c r="B5" s="1">
        <f>48*999</f>
        <v>47952</v>
      </c>
      <c r="C5" t="s">
        <v>250</v>
      </c>
    </row>
    <row r="6" spans="1:3" x14ac:dyDescent="0.25">
      <c r="A6" t="s">
        <v>248</v>
      </c>
      <c r="B6" s="1">
        <f>48*280</f>
        <v>13440</v>
      </c>
      <c r="C6" t="s">
        <v>251</v>
      </c>
    </row>
    <row r="8" spans="1:3" x14ac:dyDescent="0.25">
      <c r="A8" s="16" t="s">
        <v>207</v>
      </c>
      <c r="B8" s="16"/>
    </row>
    <row r="9" spans="1:3" x14ac:dyDescent="0.25">
      <c r="A9" t="s">
        <v>61</v>
      </c>
      <c r="B9" s="23">
        <f>(B4+B5+B6)/3</f>
        <v>22544</v>
      </c>
    </row>
    <row r="10" spans="1:3" x14ac:dyDescent="0.25">
      <c r="A10" t="s">
        <v>243</v>
      </c>
      <c r="B10" s="23">
        <f>(B4*B4+B5*B5+B6*B6-B4*B5-B4*B6-B5*B6)/18</f>
        <v>82855808</v>
      </c>
    </row>
    <row r="11" spans="1:3" x14ac:dyDescent="0.25">
      <c r="A11" t="s">
        <v>244</v>
      </c>
      <c r="B11" s="23">
        <f>SQRT(B10)</f>
        <v>9102.5165751016357</v>
      </c>
    </row>
    <row r="13" spans="1:3" x14ac:dyDescent="0.25">
      <c r="A13" t="s">
        <v>246</v>
      </c>
    </row>
    <row r="14" spans="1:3" x14ac:dyDescent="0.25">
      <c r="A14" t="s">
        <v>247</v>
      </c>
      <c r="B14" s="2">
        <v>35125.400210054511</v>
      </c>
    </row>
    <row r="15" spans="1:3" x14ac:dyDescent="0.25">
      <c r="A15" t="s">
        <v>252</v>
      </c>
      <c r="B15" s="5">
        <f>IF(B14&lt;B4,0,IF(B14&gt;B5,0,IF(B14&lt;=B6,B16,B17)))</f>
        <v>1.7820110731965191E-5</v>
      </c>
    </row>
    <row r="16" spans="1:3" x14ac:dyDescent="0.25">
      <c r="A16" t="s">
        <v>253</v>
      </c>
      <c r="B16" s="33">
        <f>2*(B14-B4)/(B5-B4)/(B6-B4)</f>
        <v>1.9236004700255797E-4</v>
      </c>
    </row>
    <row r="17" spans="1:2" x14ac:dyDescent="0.25">
      <c r="A17" t="s">
        <v>254</v>
      </c>
      <c r="B17" s="33">
        <f>2*(B5-B14)/(B5-B4)/(B5-B6)</f>
        <v>1.7820110731965191E-5</v>
      </c>
    </row>
    <row r="18" spans="1:2" x14ac:dyDescent="0.25">
      <c r="A18" t="s">
        <v>255</v>
      </c>
      <c r="B18" s="5">
        <f>IF(B14&lt;B4,0,IF(B14&gt;B5,1,IF(B14&lt;=B6,B19,B20)))</f>
        <v>0.88571428571428501</v>
      </c>
    </row>
    <row r="19" spans="1:2" x14ac:dyDescent="0.25">
      <c r="A19" t="s">
        <v>253</v>
      </c>
      <c r="B19" s="33">
        <f>(B14-B4)^2/(B5-B4)/(B6-B4)</f>
        <v>2.7781984710468914</v>
      </c>
    </row>
    <row r="20" spans="1:2" x14ac:dyDescent="0.25">
      <c r="A20" t="s">
        <v>254</v>
      </c>
      <c r="B20" s="33">
        <f>1-(B5-B14)^2/(B5-B4)/(B5-B6)</f>
        <v>0.88571428571428501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19" sqref="A19"/>
    </sheetView>
  </sheetViews>
  <sheetFormatPr defaultRowHeight="15" x14ac:dyDescent="0.25"/>
  <cols>
    <col min="1" max="1" width="18.85546875" bestFit="1" customWidth="1"/>
    <col min="2" max="2" width="5.7109375" customWidth="1"/>
    <col min="3" max="4" width="15" customWidth="1"/>
    <col min="5" max="5" width="11.5703125" customWidth="1"/>
  </cols>
  <sheetData>
    <row r="1" spans="1:5" ht="14.45" x14ac:dyDescent="0.3">
      <c r="A1" s="3" t="s">
        <v>36</v>
      </c>
    </row>
    <row r="3" spans="1:5" ht="14.45" x14ac:dyDescent="0.3">
      <c r="A3" t="s">
        <v>29</v>
      </c>
      <c r="B3" t="s">
        <v>30</v>
      </c>
      <c r="C3" s="1">
        <v>1200</v>
      </c>
      <c r="D3" t="s">
        <v>31</v>
      </c>
      <c r="E3" t="s">
        <v>32</v>
      </c>
    </row>
    <row r="4" spans="1:5" ht="14.45" x14ac:dyDescent="0.3">
      <c r="A4" t="s">
        <v>1</v>
      </c>
      <c r="B4" t="s">
        <v>0</v>
      </c>
      <c r="C4" s="1">
        <v>900</v>
      </c>
      <c r="D4" t="s">
        <v>2</v>
      </c>
    </row>
    <row r="5" spans="1:5" ht="15.6" x14ac:dyDescent="0.35">
      <c r="A5" t="s">
        <v>18</v>
      </c>
      <c r="B5" t="s">
        <v>16</v>
      </c>
      <c r="C5" s="1">
        <v>750</v>
      </c>
      <c r="D5" t="s">
        <v>3</v>
      </c>
    </row>
    <row r="6" spans="1:5" ht="15.6" x14ac:dyDescent="0.35">
      <c r="A6" t="s">
        <v>4</v>
      </c>
      <c r="B6" t="s">
        <v>17</v>
      </c>
      <c r="C6" s="1">
        <v>13</v>
      </c>
      <c r="D6" t="s">
        <v>21</v>
      </c>
    </row>
    <row r="7" spans="1:5" ht="15.6" x14ac:dyDescent="0.35">
      <c r="A7" t="s">
        <v>37</v>
      </c>
      <c r="B7" t="s">
        <v>38</v>
      </c>
      <c r="C7" s="1">
        <v>95</v>
      </c>
      <c r="D7" t="s">
        <v>21</v>
      </c>
    </row>
    <row r="8" spans="1:5" ht="14.45" x14ac:dyDescent="0.3">
      <c r="A8" t="s">
        <v>5</v>
      </c>
      <c r="B8" t="s">
        <v>7</v>
      </c>
      <c r="C8" s="2">
        <v>190</v>
      </c>
      <c r="D8" t="s">
        <v>15</v>
      </c>
    </row>
    <row r="9" spans="1:5" ht="14.45" x14ac:dyDescent="0.3">
      <c r="A9" t="s">
        <v>39</v>
      </c>
      <c r="B9" t="s">
        <v>40</v>
      </c>
      <c r="C9" s="2">
        <v>0</v>
      </c>
      <c r="D9" t="s">
        <v>41</v>
      </c>
    </row>
    <row r="11" spans="1:5" ht="14.45" x14ac:dyDescent="0.3">
      <c r="A11" t="s">
        <v>14</v>
      </c>
    </row>
    <row r="12" spans="1:5" ht="14.45" x14ac:dyDescent="0.3">
      <c r="A12" t="s">
        <v>42</v>
      </c>
      <c r="B12" t="s">
        <v>43</v>
      </c>
      <c r="C12" s="5">
        <f>C7/(C7+C6)</f>
        <v>0.87962962962962965</v>
      </c>
    </row>
    <row r="13" spans="1:5" ht="14.45" x14ac:dyDescent="0.3">
      <c r="A13" t="s">
        <v>33</v>
      </c>
      <c r="B13" t="s">
        <v>34</v>
      </c>
      <c r="C13" s="6">
        <f>C14+C3*C4</f>
        <v>1084787.6315789474</v>
      </c>
    </row>
    <row r="14" spans="1:5" ht="14.45" x14ac:dyDescent="0.3">
      <c r="A14" t="s">
        <v>10</v>
      </c>
      <c r="B14" t="s">
        <v>11</v>
      </c>
      <c r="C14" s="6">
        <f>C5*(C4/C8)+C6*(C8-C9)*(C8-C9)/(2*C8)+C7*C9*C9/(2*C8)</f>
        <v>4787.6315789473683</v>
      </c>
    </row>
    <row r="15" spans="1:5" ht="14.45" x14ac:dyDescent="0.3">
      <c r="A15" t="s">
        <v>8</v>
      </c>
      <c r="B15" t="s">
        <v>9</v>
      </c>
      <c r="C15" s="5">
        <f>C8/C4</f>
        <v>0.21111111111111111</v>
      </c>
    </row>
    <row r="16" spans="1:5" ht="14.45" x14ac:dyDescent="0.3">
      <c r="A16" t="s">
        <v>23</v>
      </c>
      <c r="B16" t="s">
        <v>25</v>
      </c>
    </row>
    <row r="17" spans="1:3" x14ac:dyDescent="0.25">
      <c r="A17" t="s">
        <v>24</v>
      </c>
      <c r="B17" t="s">
        <v>26</v>
      </c>
    </row>
    <row r="19" spans="1:3" x14ac:dyDescent="0.25">
      <c r="A19" s="26" t="s">
        <v>28</v>
      </c>
    </row>
    <row r="20" spans="1:3" x14ac:dyDescent="0.25">
      <c r="A20" t="s">
        <v>5</v>
      </c>
      <c r="B20" t="s">
        <v>6</v>
      </c>
      <c r="C20" s="4">
        <f>SQRT(2*C5*C4/C6)/SQRT(C12)</f>
        <v>343.59377200692001</v>
      </c>
    </row>
    <row r="21" spans="1:3" x14ac:dyDescent="0.25">
      <c r="A21" t="s">
        <v>8</v>
      </c>
      <c r="B21" t="s">
        <v>13</v>
      </c>
      <c r="C21" s="4">
        <f>C20/C4</f>
        <v>0.38177085778546666</v>
      </c>
    </row>
    <row r="23" spans="1:3" x14ac:dyDescent="0.25">
      <c r="A23" t="s">
        <v>44</v>
      </c>
      <c r="C23">
        <f>1/SQRT(C12)</f>
        <v>1.0662279799663663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8" workbookViewId="0">
      <selection activeCell="C26" sqref="C26"/>
    </sheetView>
  </sheetViews>
  <sheetFormatPr defaultRowHeight="15" x14ac:dyDescent="0.25"/>
  <cols>
    <col min="1" max="1" width="24.42578125" customWidth="1"/>
    <col min="2" max="2" width="7.42578125" customWidth="1"/>
    <col min="3" max="3" width="14.42578125" customWidth="1"/>
    <col min="4" max="4" width="12.28515625" customWidth="1"/>
    <col min="5" max="5" width="14.85546875" customWidth="1"/>
  </cols>
  <sheetData>
    <row r="1" spans="1:6" ht="14.45" x14ac:dyDescent="0.3">
      <c r="A1" s="3" t="s">
        <v>12</v>
      </c>
    </row>
    <row r="3" spans="1:6" ht="14.45" x14ac:dyDescent="0.3">
      <c r="A3" t="s">
        <v>29</v>
      </c>
      <c r="B3" t="s">
        <v>30</v>
      </c>
      <c r="C3" s="1">
        <v>0.25</v>
      </c>
      <c r="D3" t="s">
        <v>31</v>
      </c>
      <c r="E3" t="s">
        <v>32</v>
      </c>
    </row>
    <row r="4" spans="1:6" ht="15.6" x14ac:dyDescent="0.35">
      <c r="A4" t="s">
        <v>18</v>
      </c>
      <c r="B4" t="s">
        <v>16</v>
      </c>
      <c r="C4" s="1">
        <v>100</v>
      </c>
      <c r="D4" t="s">
        <v>3</v>
      </c>
    </row>
    <row r="5" spans="1:6" ht="18" x14ac:dyDescent="0.35">
      <c r="A5" t="s">
        <v>4</v>
      </c>
      <c r="B5" t="s">
        <v>147</v>
      </c>
      <c r="C5" s="1">
        <f>0.25*0.12/5/4/12</f>
        <v>1.25E-4</v>
      </c>
      <c r="D5" t="s">
        <v>21</v>
      </c>
    </row>
    <row r="6" spans="1:6" x14ac:dyDescent="0.25">
      <c r="A6" t="s">
        <v>1</v>
      </c>
      <c r="B6" s="14" t="s">
        <v>176</v>
      </c>
      <c r="C6" s="1">
        <f>1250</f>
        <v>1250</v>
      </c>
      <c r="D6" t="s">
        <v>2</v>
      </c>
    </row>
    <row r="7" spans="1:6" x14ac:dyDescent="0.25">
      <c r="A7" t="s">
        <v>174</v>
      </c>
      <c r="B7" s="14" t="s">
        <v>175</v>
      </c>
      <c r="C7" s="1">
        <v>200</v>
      </c>
      <c r="D7" t="s">
        <v>2</v>
      </c>
    </row>
    <row r="8" spans="1:6" x14ac:dyDescent="0.25">
      <c r="A8" t="s">
        <v>19</v>
      </c>
      <c r="B8" s="14" t="s">
        <v>177</v>
      </c>
      <c r="C8" s="1">
        <f>2*5</f>
        <v>10</v>
      </c>
      <c r="D8" t="s">
        <v>22</v>
      </c>
      <c r="E8" t="s">
        <v>35</v>
      </c>
    </row>
    <row r="9" spans="1:6" x14ac:dyDescent="0.25">
      <c r="A9" t="s">
        <v>172</v>
      </c>
      <c r="B9" s="14" t="s">
        <v>173</v>
      </c>
      <c r="C9" s="1">
        <f>0.74*5</f>
        <v>3.7</v>
      </c>
      <c r="D9" t="s">
        <v>22</v>
      </c>
    </row>
    <row r="10" spans="1:6" x14ac:dyDescent="0.25">
      <c r="A10" t="s">
        <v>178</v>
      </c>
      <c r="B10" s="14" t="s">
        <v>185</v>
      </c>
      <c r="C10" s="29">
        <f>C6*C8</f>
        <v>12500</v>
      </c>
    </row>
    <row r="11" spans="1:6" x14ac:dyDescent="0.25">
      <c r="A11" t="s">
        <v>179</v>
      </c>
      <c r="B11" s="14" t="s">
        <v>184</v>
      </c>
      <c r="C11" s="30">
        <f>SQRT((C8*C7*C7)+(C6*C6*C9*C9))</f>
        <v>4668.0429518161036</v>
      </c>
    </row>
    <row r="12" spans="1:6" ht="14.45" x14ac:dyDescent="0.3">
      <c r="A12" t="s">
        <v>5</v>
      </c>
      <c r="B12" t="s">
        <v>7</v>
      </c>
      <c r="C12" s="32">
        <v>44720</v>
      </c>
      <c r="D12" t="s">
        <v>15</v>
      </c>
      <c r="E12" t="s">
        <v>156</v>
      </c>
    </row>
    <row r="13" spans="1:6" ht="14.45" x14ac:dyDescent="0.3">
      <c r="A13" t="s">
        <v>180</v>
      </c>
      <c r="B13" t="s">
        <v>59</v>
      </c>
      <c r="C13" s="7">
        <v>1.71</v>
      </c>
    </row>
    <row r="15" spans="1:6" x14ac:dyDescent="0.25">
      <c r="A15" s="3" t="s">
        <v>14</v>
      </c>
      <c r="E15" t="s">
        <v>181</v>
      </c>
      <c r="F15">
        <v>250</v>
      </c>
    </row>
    <row r="16" spans="1:6" ht="14.45" x14ac:dyDescent="0.3">
      <c r="A16" t="s">
        <v>33</v>
      </c>
      <c r="B16" t="s">
        <v>34</v>
      </c>
      <c r="C16" s="6">
        <f>C17+C18</f>
        <v>320.65046412728344</v>
      </c>
      <c r="D16" t="s">
        <v>148</v>
      </c>
      <c r="E16" s="6">
        <f>C16*$F$15</f>
        <v>80162.616031820857</v>
      </c>
    </row>
    <row r="17" spans="1:7" ht="14.45" x14ac:dyDescent="0.3">
      <c r="A17" t="s">
        <v>149</v>
      </c>
      <c r="B17" t="s">
        <v>150</v>
      </c>
      <c r="C17" s="6">
        <f>C3*C6</f>
        <v>312.5</v>
      </c>
      <c r="D17" t="s">
        <v>148</v>
      </c>
      <c r="E17" s="6">
        <f t="shared" ref="E17:E22" si="0">C17*$F$15</f>
        <v>78125</v>
      </c>
      <c r="F17">
        <f>C6/C12</f>
        <v>2.795169946332737E-2</v>
      </c>
      <c r="G17">
        <f>365/F17</f>
        <v>13058.24</v>
      </c>
    </row>
    <row r="18" spans="1:7" ht="14.45" x14ac:dyDescent="0.3">
      <c r="A18" t="s">
        <v>151</v>
      </c>
      <c r="B18" t="s">
        <v>152</v>
      </c>
      <c r="C18" s="6">
        <f>SUM(C19:C22)</f>
        <v>8.1504641272834295</v>
      </c>
      <c r="D18" t="s">
        <v>148</v>
      </c>
      <c r="E18" s="6">
        <f t="shared" si="0"/>
        <v>2037.6160318208574</v>
      </c>
      <c r="F18" s="27"/>
    </row>
    <row r="19" spans="1:7" ht="14.45" x14ac:dyDescent="0.3">
      <c r="A19" t="s">
        <v>153</v>
      </c>
      <c r="C19" s="6">
        <f>C4*C6/C12</f>
        <v>2.7951699463327371</v>
      </c>
      <c r="D19" t="s">
        <v>148</v>
      </c>
      <c r="E19" s="6">
        <f t="shared" si="0"/>
        <v>698.79248658318431</v>
      </c>
    </row>
    <row r="20" spans="1:7" ht="14.45" x14ac:dyDescent="0.3">
      <c r="A20" t="s">
        <v>188</v>
      </c>
      <c r="C20" s="6">
        <f>C5*(C12/2)</f>
        <v>2.7949999999999999</v>
      </c>
      <c r="D20" t="s">
        <v>148</v>
      </c>
      <c r="E20" s="6">
        <f t="shared" si="0"/>
        <v>698.75</v>
      </c>
    </row>
    <row r="21" spans="1:7" ht="14.45" x14ac:dyDescent="0.3">
      <c r="A21" t="s">
        <v>187</v>
      </c>
      <c r="C21" s="6">
        <f>C5*C26</f>
        <v>0.99779418095069206</v>
      </c>
      <c r="D21" t="s">
        <v>148</v>
      </c>
      <c r="E21" s="6">
        <f t="shared" si="0"/>
        <v>249.44854523767302</v>
      </c>
    </row>
    <row r="22" spans="1:7" ht="14.45" x14ac:dyDescent="0.3">
      <c r="A22" t="s">
        <v>155</v>
      </c>
      <c r="C22" s="6">
        <f>(C5*C6*C8)</f>
        <v>1.5625</v>
      </c>
      <c r="D22" t="s">
        <v>148</v>
      </c>
      <c r="E22" s="6">
        <f t="shared" si="0"/>
        <v>390.625</v>
      </c>
    </row>
    <row r="23" spans="1:7" ht="14.45" x14ac:dyDescent="0.3">
      <c r="A23" t="s">
        <v>8</v>
      </c>
      <c r="B23" t="s">
        <v>9</v>
      </c>
      <c r="C23" s="5">
        <f>C12/C6</f>
        <v>35.776000000000003</v>
      </c>
      <c r="D23" t="s">
        <v>22</v>
      </c>
      <c r="E23" s="6"/>
      <c r="F23" t="s">
        <v>182</v>
      </c>
      <c r="G23">
        <f>F15/C23</f>
        <v>6.9879248658318422</v>
      </c>
    </row>
    <row r="24" spans="1:7" x14ac:dyDescent="0.25">
      <c r="A24" t="s">
        <v>27</v>
      </c>
      <c r="B24" t="s">
        <v>26</v>
      </c>
      <c r="C24">
        <f>C27</f>
        <v>12500</v>
      </c>
      <c r="D24" t="s">
        <v>41</v>
      </c>
      <c r="E24" s="6"/>
    </row>
    <row r="25" spans="1:7" x14ac:dyDescent="0.25">
      <c r="A25" t="s">
        <v>23</v>
      </c>
      <c r="B25" t="s">
        <v>25</v>
      </c>
      <c r="C25">
        <f>C12/2</f>
        <v>22360</v>
      </c>
      <c r="D25" t="s">
        <v>41</v>
      </c>
      <c r="E25" s="6"/>
    </row>
    <row r="26" spans="1:7" x14ac:dyDescent="0.25">
      <c r="A26" t="s">
        <v>183</v>
      </c>
      <c r="B26" t="s">
        <v>186</v>
      </c>
      <c r="C26" s="31">
        <f>C13*C11</f>
        <v>7982.3534476055365</v>
      </c>
      <c r="D26" t="s">
        <v>41</v>
      </c>
      <c r="E26" s="6"/>
    </row>
    <row r="27" spans="1:7" x14ac:dyDescent="0.25">
      <c r="A27" t="s">
        <v>24</v>
      </c>
      <c r="B27" t="s">
        <v>26</v>
      </c>
      <c r="C27">
        <f>C6*C8</f>
        <v>12500</v>
      </c>
      <c r="D27" t="s">
        <v>41</v>
      </c>
      <c r="E27" s="6"/>
    </row>
    <row r="29" spans="1:7" x14ac:dyDescent="0.25">
      <c r="A29" s="26" t="s">
        <v>28</v>
      </c>
    </row>
    <row r="30" spans="1:7" x14ac:dyDescent="0.25">
      <c r="A30" t="s">
        <v>5</v>
      </c>
      <c r="B30" t="s">
        <v>6</v>
      </c>
      <c r="C30" s="4">
        <f>SQRT(2*C4*C6/C5)</f>
        <v>44721.359549995796</v>
      </c>
      <c r="D30">
        <f>C30/25981</f>
        <v>1.7213101708939531</v>
      </c>
    </row>
    <row r="31" spans="1:7" x14ac:dyDescent="0.25">
      <c r="A31" t="s">
        <v>8</v>
      </c>
      <c r="B31" t="s">
        <v>13</v>
      </c>
      <c r="C31" s="5">
        <f>C30/C6</f>
        <v>35.777087639996637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C6" sqref="C6"/>
    </sheetView>
  </sheetViews>
  <sheetFormatPr defaultRowHeight="15" x14ac:dyDescent="0.25"/>
  <cols>
    <col min="1" max="1" width="23" customWidth="1"/>
    <col min="5" max="5" width="11" bestFit="1" customWidth="1"/>
    <col min="9" max="9" width="12" bestFit="1" customWidth="1"/>
  </cols>
  <sheetData>
    <row r="1" spans="1:9" ht="14.45" x14ac:dyDescent="0.3">
      <c r="A1" s="3" t="s">
        <v>53</v>
      </c>
    </row>
    <row r="3" spans="1:9" ht="14.45" x14ac:dyDescent="0.3">
      <c r="A3" t="s">
        <v>45</v>
      </c>
      <c r="B3" t="s">
        <v>46</v>
      </c>
      <c r="C3" s="1">
        <v>0.4</v>
      </c>
      <c r="D3" t="s">
        <v>31</v>
      </c>
    </row>
    <row r="4" spans="1:9" ht="14.45" x14ac:dyDescent="0.3">
      <c r="A4" t="s">
        <v>29</v>
      </c>
      <c r="B4" t="s">
        <v>30</v>
      </c>
      <c r="C4" s="1">
        <v>0.16</v>
      </c>
      <c r="D4" t="s">
        <v>31</v>
      </c>
    </row>
    <row r="5" spans="1:9" ht="14.45" x14ac:dyDescent="0.3">
      <c r="A5" t="s">
        <v>47</v>
      </c>
      <c r="B5" t="s">
        <v>48</v>
      </c>
      <c r="C5" s="1">
        <v>-0.5</v>
      </c>
      <c r="D5" t="s">
        <v>31</v>
      </c>
    </row>
    <row r="6" spans="1:9" ht="14.45" x14ac:dyDescent="0.3">
      <c r="A6" t="s">
        <v>49</v>
      </c>
      <c r="B6" t="s">
        <v>50</v>
      </c>
      <c r="C6" s="1">
        <v>1</v>
      </c>
      <c r="D6" t="s">
        <v>31</v>
      </c>
    </row>
    <row r="7" spans="1:9" ht="15.6" x14ac:dyDescent="0.35">
      <c r="A7" t="s">
        <v>54</v>
      </c>
      <c r="B7" t="s">
        <v>17</v>
      </c>
      <c r="C7" s="9">
        <f>C4-C5</f>
        <v>0.66</v>
      </c>
      <c r="D7" t="s">
        <v>31</v>
      </c>
      <c r="E7" t="str">
        <f>"= c - g = cost - salvage"</f>
        <v>= c - g = cost - salvage</v>
      </c>
    </row>
    <row r="8" spans="1:9" ht="15.6" x14ac:dyDescent="0.35">
      <c r="A8" t="s">
        <v>55</v>
      </c>
      <c r="B8" t="s">
        <v>38</v>
      </c>
      <c r="C8" s="9">
        <f>C3-C4+C6</f>
        <v>1.24</v>
      </c>
      <c r="D8" t="s">
        <v>31</v>
      </c>
      <c r="E8" t="str">
        <f>"= p - c + B = price - cost + addtl. Shortage cost"</f>
        <v>= p - c + B = price - cost + addtl. Shortage cost</v>
      </c>
    </row>
    <row r="9" spans="1:9" ht="14.45" x14ac:dyDescent="0.3">
      <c r="C9" s="8"/>
    </row>
    <row r="10" spans="1:9" ht="14.45" x14ac:dyDescent="0.3">
      <c r="A10" t="s">
        <v>51</v>
      </c>
      <c r="B10" t="s">
        <v>61</v>
      </c>
      <c r="C10" s="1">
        <f>48*486.333333333333</f>
        <v>23343.999999999982</v>
      </c>
      <c r="D10" t="s">
        <v>41</v>
      </c>
    </row>
    <row r="11" spans="1:9" x14ac:dyDescent="0.25">
      <c r="A11" t="s">
        <v>52</v>
      </c>
      <c r="B11" s="14" t="s">
        <v>64</v>
      </c>
      <c r="C11" s="1">
        <f>48*182.400810183386</f>
        <v>8755.2388888025271</v>
      </c>
      <c r="D11" t="s">
        <v>41</v>
      </c>
    </row>
    <row r="12" spans="1:9" s="8" customFormat="1" ht="14.45" x14ac:dyDescent="0.3"/>
    <row r="13" spans="1:9" s="8" customFormat="1" ht="14.45" x14ac:dyDescent="0.3">
      <c r="A13" t="s">
        <v>42</v>
      </c>
      <c r="B13" t="s">
        <v>43</v>
      </c>
      <c r="C13">
        <f>C8/(C8+C7)</f>
        <v>0.65263157894736845</v>
      </c>
      <c r="D13" s="8" t="s">
        <v>157</v>
      </c>
      <c r="I13" s="8">
        <f>(C13-0.95)^2</f>
        <v>8.8427977839335134E-2</v>
      </c>
    </row>
    <row r="14" spans="1:9" s="8" customFormat="1" ht="14.45" x14ac:dyDescent="0.3">
      <c r="A14" t="s">
        <v>56</v>
      </c>
      <c r="B14" s="26" t="s">
        <v>6</v>
      </c>
      <c r="C14">
        <f>_xlfn.NORM.INV(C13,C10,C11)</f>
        <v>26779.862024783</v>
      </c>
    </row>
    <row r="15" spans="1:9" s="8" customFormat="1" ht="14.45" x14ac:dyDescent="0.3">
      <c r="E15" s="13"/>
    </row>
    <row r="16" spans="1:9" ht="14.45" x14ac:dyDescent="0.3">
      <c r="A16" t="s">
        <v>5</v>
      </c>
      <c r="B16" t="s">
        <v>7</v>
      </c>
      <c r="C16" s="7">
        <f>ROUND(C14,0)</f>
        <v>26780</v>
      </c>
    </row>
    <row r="17" spans="1:3" x14ac:dyDescent="0.25">
      <c r="A17" t="s">
        <v>58</v>
      </c>
      <c r="B17" t="s">
        <v>59</v>
      </c>
      <c r="C17" s="10">
        <f>(C16-C10)/C11</f>
        <v>0.392450742194422</v>
      </c>
    </row>
    <row r="18" spans="1:3" x14ac:dyDescent="0.25">
      <c r="A18" t="s">
        <v>63</v>
      </c>
      <c r="C18" s="10">
        <f>1-_xlfn.NORM.DIST(C16,C10,C11,TRUE)</f>
        <v>0.34736260002044705</v>
      </c>
    </row>
    <row r="19" spans="1:3" x14ac:dyDescent="0.25">
      <c r="A19" t="s">
        <v>57</v>
      </c>
      <c r="C19" s="11">
        <f>(NORMDIST(C17,0,1,0)-C17*(1-NORMDIST(C17,0,1,1)))*C11</f>
        <v>2040.4141285716953</v>
      </c>
    </row>
    <row r="20" spans="1:3" x14ac:dyDescent="0.25">
      <c r="A20" t="s">
        <v>62</v>
      </c>
      <c r="C20" s="12">
        <f>C10-C19</f>
        <v>21303.585871428288</v>
      </c>
    </row>
    <row r="21" spans="1:3" x14ac:dyDescent="0.25">
      <c r="A21" t="s">
        <v>60</v>
      </c>
      <c r="C21">
        <f>(C3-C5)*C10-(C4-C5)*C16-(C3-C5+C6)*C19</f>
        <v>-541.98684428623619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5" x14ac:dyDescent="0.25"/>
  <cols>
    <col min="1" max="1" width="17.28515625" customWidth="1"/>
    <col min="2" max="2" width="11.42578125" customWidth="1"/>
  </cols>
  <sheetData>
    <row r="1" spans="1:3" ht="14.45" x14ac:dyDescent="0.3">
      <c r="A1" s="3" t="s">
        <v>65</v>
      </c>
    </row>
    <row r="2" spans="1:3" ht="14.45" x14ac:dyDescent="0.3">
      <c r="A2" t="s">
        <v>66</v>
      </c>
    </row>
    <row r="4" spans="1:3" ht="18" x14ac:dyDescent="0.35">
      <c r="A4" t="s">
        <v>67</v>
      </c>
      <c r="B4" s="14" t="s">
        <v>70</v>
      </c>
      <c r="C4" s="1">
        <f>120/4</f>
        <v>30</v>
      </c>
    </row>
    <row r="5" spans="1:3" ht="18" x14ac:dyDescent="0.35">
      <c r="A5" t="s">
        <v>68</v>
      </c>
      <c r="B5" s="14" t="s">
        <v>69</v>
      </c>
      <c r="C5" s="1">
        <f>18/SQRT(4)</f>
        <v>9</v>
      </c>
    </row>
    <row r="6" spans="1:3" ht="14.45" x14ac:dyDescent="0.3">
      <c r="A6" t="s">
        <v>71</v>
      </c>
      <c r="B6" t="s">
        <v>72</v>
      </c>
      <c r="C6" s="2">
        <v>0.9</v>
      </c>
    </row>
    <row r="8" spans="1:3" ht="14.45" x14ac:dyDescent="0.3">
      <c r="A8" t="s">
        <v>28</v>
      </c>
    </row>
    <row r="9" spans="1:3" ht="14.45" x14ac:dyDescent="0.3">
      <c r="A9" t="s">
        <v>73</v>
      </c>
      <c r="B9" t="s">
        <v>74</v>
      </c>
      <c r="C9">
        <f>_xlfn.NORM.INV(C6,C4,C5)</f>
        <v>41.533964089901403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2"/>
  <sheetViews>
    <sheetView workbookViewId="0">
      <selection activeCell="C41" sqref="C41"/>
    </sheetView>
  </sheetViews>
  <sheetFormatPr defaultRowHeight="15" x14ac:dyDescent="0.25"/>
  <cols>
    <col min="1" max="1" width="20.85546875" customWidth="1"/>
    <col min="2" max="2" width="13.85546875" customWidth="1"/>
    <col min="3" max="3" width="11.5703125" bestFit="1" customWidth="1"/>
    <col min="4" max="4" width="11.28515625" customWidth="1"/>
  </cols>
  <sheetData>
    <row r="1" spans="1:4" ht="14.45" x14ac:dyDescent="0.3">
      <c r="A1" s="3" t="s">
        <v>81</v>
      </c>
    </row>
    <row r="2" spans="1:4" ht="14.45" x14ac:dyDescent="0.3">
      <c r="A2" t="s">
        <v>82</v>
      </c>
    </row>
    <row r="4" spans="1:4" x14ac:dyDescent="0.25">
      <c r="A4" s="16" t="s">
        <v>158</v>
      </c>
      <c r="B4" s="16"/>
      <c r="C4" s="16"/>
    </row>
    <row r="5" spans="1:4" ht="18" x14ac:dyDescent="0.35">
      <c r="A5" t="s">
        <v>67</v>
      </c>
      <c r="B5" s="14" t="s">
        <v>70</v>
      </c>
      <c r="C5" s="1">
        <f>2400*5/50</f>
        <v>240</v>
      </c>
      <c r="D5">
        <f>C5*50/5</f>
        <v>2400</v>
      </c>
    </row>
    <row r="6" spans="1:4" ht="18" x14ac:dyDescent="0.35">
      <c r="A6" t="s">
        <v>68</v>
      </c>
      <c r="B6" s="14" t="s">
        <v>69</v>
      </c>
      <c r="C6" s="1">
        <f>220*SQRT(5/50)</f>
        <v>69.570108523704349</v>
      </c>
      <c r="D6">
        <f>C6*SQRT(50/5)</f>
        <v>220.00000000000003</v>
      </c>
    </row>
    <row r="7" spans="1:4" ht="14.45" x14ac:dyDescent="0.3">
      <c r="A7" t="s">
        <v>5</v>
      </c>
      <c r="B7" t="s">
        <v>7</v>
      </c>
      <c r="C7" s="1">
        <v>98</v>
      </c>
      <c r="D7" t="s">
        <v>75</v>
      </c>
    </row>
    <row r="9" spans="1:4" ht="14.45" x14ac:dyDescent="0.3">
      <c r="A9" s="16" t="s">
        <v>76</v>
      </c>
      <c r="B9" s="16"/>
      <c r="C9" s="16"/>
    </row>
    <row r="10" spans="1:4" ht="14.45" x14ac:dyDescent="0.3">
      <c r="A10" t="s">
        <v>77</v>
      </c>
      <c r="B10" t="s">
        <v>78</v>
      </c>
      <c r="C10" s="1">
        <v>0.95</v>
      </c>
    </row>
    <row r="11" spans="1:4" ht="14.45" x14ac:dyDescent="0.3">
      <c r="A11" t="s">
        <v>83</v>
      </c>
      <c r="B11" t="s">
        <v>59</v>
      </c>
      <c r="C11">
        <f>_xlfn.NORM.INV(C10,0,1)</f>
        <v>1.6448536269514715</v>
      </c>
    </row>
    <row r="12" spans="1:4" ht="14.45" x14ac:dyDescent="0.3">
      <c r="A12" t="s">
        <v>118</v>
      </c>
      <c r="B12" t="s">
        <v>80</v>
      </c>
      <c r="C12">
        <f>C5+C6*C11</f>
        <v>354.4326453326226</v>
      </c>
      <c r="D12">
        <f>C6*C11</f>
        <v>114.43264533262258</v>
      </c>
    </row>
    <row r="13" spans="1:4" x14ac:dyDescent="0.25">
      <c r="D13">
        <f>D12+C5</f>
        <v>354.4326453326226</v>
      </c>
    </row>
    <row r="14" spans="1:4" ht="14.45" x14ac:dyDescent="0.3">
      <c r="A14" s="16" t="s">
        <v>84</v>
      </c>
      <c r="B14" s="16"/>
      <c r="C14" s="16"/>
    </row>
    <row r="15" spans="1:4" ht="15.6" x14ac:dyDescent="0.35">
      <c r="A15" t="s">
        <v>85</v>
      </c>
      <c r="B15" t="s">
        <v>86</v>
      </c>
      <c r="C15" s="1">
        <v>170</v>
      </c>
      <c r="D15" t="s">
        <v>89</v>
      </c>
    </row>
    <row r="16" spans="1:4" x14ac:dyDescent="0.25">
      <c r="A16" t="s">
        <v>87</v>
      </c>
      <c r="B16" t="s">
        <v>88</v>
      </c>
      <c r="C16" s="1">
        <f>1.25/4</f>
        <v>0.3125</v>
      </c>
      <c r="D16" t="s">
        <v>90</v>
      </c>
    </row>
    <row r="17" spans="1:4" x14ac:dyDescent="0.25">
      <c r="A17" t="s">
        <v>83</v>
      </c>
      <c r="B17" t="s">
        <v>59</v>
      </c>
      <c r="C17">
        <f>SQRT(2*LN((C15*C5)/(C16*C6*C7*SQRT(2*PI()))))</f>
        <v>2.0166046506280555</v>
      </c>
    </row>
    <row r="18" spans="1:4" x14ac:dyDescent="0.25">
      <c r="A18" t="s">
        <v>118</v>
      </c>
      <c r="B18" t="s">
        <v>80</v>
      </c>
      <c r="C18">
        <f>C5+C6*C17</f>
        <v>380.29540439360073</v>
      </c>
    </row>
    <row r="20" spans="1:4" x14ac:dyDescent="0.25">
      <c r="A20" s="16" t="s">
        <v>91</v>
      </c>
      <c r="B20" s="16"/>
      <c r="C20" s="16"/>
    </row>
    <row r="21" spans="1:4" x14ac:dyDescent="0.25">
      <c r="A21" t="s">
        <v>92</v>
      </c>
      <c r="B21" t="s">
        <v>93</v>
      </c>
      <c r="C21" s="1">
        <v>0.95</v>
      </c>
    </row>
    <row r="22" spans="1:4" x14ac:dyDescent="0.25">
      <c r="A22" t="s">
        <v>94</v>
      </c>
      <c r="B22" t="s">
        <v>96</v>
      </c>
      <c r="C22">
        <f>C7/C6*(1-C21)</f>
        <v>7.0432547885568506E-2</v>
      </c>
    </row>
    <row r="23" spans="1:4" x14ac:dyDescent="0.25">
      <c r="A23" t="s">
        <v>97</v>
      </c>
      <c r="B23" t="s">
        <v>59</v>
      </c>
      <c r="C23" s="15">
        <v>0.16727441416634214</v>
      </c>
      <c r="D23" t="s">
        <v>98</v>
      </c>
    </row>
    <row r="24" spans="1:4" x14ac:dyDescent="0.25">
      <c r="A24" t="s">
        <v>102</v>
      </c>
      <c r="B24" t="s">
        <v>95</v>
      </c>
      <c r="C24" s="15">
        <f>_xlfn.NORM.S.DIST(C23,FALSE)-C23*(1-_xlfn.NORM.S.DIST(C23,TRUE))</f>
        <v>0.32087344350344676</v>
      </c>
    </row>
    <row r="25" spans="1:4" x14ac:dyDescent="0.25">
      <c r="A25" t="s">
        <v>99</v>
      </c>
      <c r="B25" t="s">
        <v>100</v>
      </c>
      <c r="C25" s="15">
        <f>C22-C24</f>
        <v>-0.25044089561787825</v>
      </c>
      <c r="D25" t="s">
        <v>101</v>
      </c>
    </row>
    <row r="26" spans="1:4" x14ac:dyDescent="0.25">
      <c r="A26" t="s">
        <v>118</v>
      </c>
      <c r="B26" t="s">
        <v>80</v>
      </c>
      <c r="C26" s="15">
        <f>C5+C6*C23</f>
        <v>251.63729914679149</v>
      </c>
    </row>
    <row r="27" spans="1:4" x14ac:dyDescent="0.25">
      <c r="C27">
        <f>1-((C6*C24)/C7)</f>
        <v>0.77221224197031113</v>
      </c>
    </row>
    <row r="29" spans="1:4" x14ac:dyDescent="0.25">
      <c r="A29" s="16" t="s">
        <v>103</v>
      </c>
      <c r="B29" s="16"/>
      <c r="C29" s="16"/>
    </row>
    <row r="30" spans="1:4" x14ac:dyDescent="0.25">
      <c r="A30" s="17" t="s">
        <v>127</v>
      </c>
      <c r="B30" s="25" t="s">
        <v>128</v>
      </c>
      <c r="C30" s="28">
        <v>2400</v>
      </c>
      <c r="D30" t="s">
        <v>159</v>
      </c>
    </row>
    <row r="31" spans="1:4" x14ac:dyDescent="0.25">
      <c r="A31" t="s">
        <v>104</v>
      </c>
      <c r="B31" t="s">
        <v>105</v>
      </c>
      <c r="C31" s="1">
        <v>6</v>
      </c>
      <c r="D31" t="s">
        <v>31</v>
      </c>
    </row>
    <row r="32" spans="1:4" x14ac:dyDescent="0.25">
      <c r="A32" t="s">
        <v>87</v>
      </c>
      <c r="B32" t="s">
        <v>88</v>
      </c>
      <c r="C32" s="1">
        <v>2.5</v>
      </c>
      <c r="D32" t="s">
        <v>129</v>
      </c>
    </row>
    <row r="33" spans="1:4" x14ac:dyDescent="0.25">
      <c r="A33" t="s">
        <v>106</v>
      </c>
      <c r="B33" t="s">
        <v>107</v>
      </c>
      <c r="C33">
        <f>C7/C30*C32/C31</f>
        <v>1.7013888888888887E-2</v>
      </c>
    </row>
    <row r="34" spans="1:4" x14ac:dyDescent="0.25">
      <c r="A34" t="s">
        <v>83</v>
      </c>
      <c r="B34" t="s">
        <v>108</v>
      </c>
      <c r="C34">
        <f>_xlfn.NORM.INV(1-C33,0,1)</f>
        <v>2.11974236952411</v>
      </c>
    </row>
    <row r="35" spans="1:4" x14ac:dyDescent="0.25">
      <c r="A35" t="s">
        <v>118</v>
      </c>
      <c r="B35" t="s">
        <v>80</v>
      </c>
      <c r="C35">
        <f>C5+C6*C34</f>
        <v>387.47070669008656</v>
      </c>
    </row>
    <row r="37" spans="1:4" x14ac:dyDescent="0.25">
      <c r="A37" s="16" t="s">
        <v>109</v>
      </c>
      <c r="B37" s="16"/>
      <c r="C37" s="16"/>
    </row>
    <row r="38" spans="1:4" x14ac:dyDescent="0.25">
      <c r="A38" t="s">
        <v>118</v>
      </c>
      <c r="B38" s="17" t="s">
        <v>80</v>
      </c>
      <c r="C38" s="19">
        <v>387</v>
      </c>
    </row>
    <row r="39" spans="1:4" x14ac:dyDescent="0.25">
      <c r="A39" s="17" t="s">
        <v>117</v>
      </c>
      <c r="B39" s="17" t="s">
        <v>59</v>
      </c>
      <c r="C39" s="21">
        <f>(C38-C5)/C6</f>
        <v>2.1129764365670534</v>
      </c>
    </row>
    <row r="40" spans="1:4" x14ac:dyDescent="0.25">
      <c r="A40" s="17" t="s">
        <v>116</v>
      </c>
      <c r="B40" s="17" t="s">
        <v>95</v>
      </c>
      <c r="C40" s="21">
        <f>_xlfn.NORM.DIST(C39,0,1,FALSE)-C39*(1-_xlfn.NORM.DIST(C39,0,1,TRUE))</f>
        <v>6.2401659702710222E-3</v>
      </c>
    </row>
    <row r="41" spans="1:4" x14ac:dyDescent="0.25">
      <c r="A41" s="17" t="s">
        <v>77</v>
      </c>
      <c r="B41" s="17" t="s">
        <v>78</v>
      </c>
      <c r="C41" s="20">
        <f>_xlfn.NORM.DIST(C38,C5,C6,TRUE)</f>
        <v>0.98269860762617878</v>
      </c>
    </row>
    <row r="42" spans="1:4" x14ac:dyDescent="0.25">
      <c r="A42" s="17" t="s">
        <v>92</v>
      </c>
      <c r="B42" s="17" t="s">
        <v>93</v>
      </c>
      <c r="C42" s="22">
        <f>1-(C6*C40/C7)</f>
        <v>0.99557011200247258</v>
      </c>
    </row>
    <row r="43" spans="1:4" x14ac:dyDescent="0.25">
      <c r="A43" s="17"/>
    </row>
    <row r="44" spans="1:4" x14ac:dyDescent="0.25">
      <c r="A44" s="17" t="s">
        <v>133</v>
      </c>
    </row>
    <row r="45" spans="1:4" x14ac:dyDescent="0.25">
      <c r="A45" s="17"/>
      <c r="B45" s="24" t="s">
        <v>113</v>
      </c>
      <c r="C45" s="24" t="s">
        <v>114</v>
      </c>
      <c r="D45" s="24" t="s">
        <v>112</v>
      </c>
    </row>
    <row r="46" spans="1:4" x14ac:dyDescent="0.25">
      <c r="A46" s="17" t="s">
        <v>110</v>
      </c>
      <c r="B46" s="1">
        <v>2.5</v>
      </c>
      <c r="C46" s="12">
        <f>C7/2</f>
        <v>49</v>
      </c>
      <c r="D46" s="23">
        <f>B46*C46</f>
        <v>122.5</v>
      </c>
    </row>
    <row r="47" spans="1:4" x14ac:dyDescent="0.25">
      <c r="A47" s="17" t="s">
        <v>79</v>
      </c>
      <c r="B47" s="1">
        <v>2.5</v>
      </c>
      <c r="C47" s="12">
        <f>C38-C5</f>
        <v>147</v>
      </c>
      <c r="D47" s="23">
        <f t="shared" ref="D47:D48" si="0">B47*C47</f>
        <v>367.5</v>
      </c>
    </row>
    <row r="48" spans="1:4" x14ac:dyDescent="0.25">
      <c r="A48" s="17" t="s">
        <v>111</v>
      </c>
      <c r="B48" s="1">
        <v>0</v>
      </c>
      <c r="C48" s="12">
        <f>C5</f>
        <v>240</v>
      </c>
      <c r="D48" s="23">
        <f t="shared" si="0"/>
        <v>0</v>
      </c>
    </row>
    <row r="49" spans="1:4" x14ac:dyDescent="0.25">
      <c r="A49" s="17" t="s">
        <v>115</v>
      </c>
      <c r="D49" s="23">
        <f>SUM(D46:D48)</f>
        <v>490</v>
      </c>
    </row>
    <row r="51" spans="1:4" x14ac:dyDescent="0.25">
      <c r="A51" s="18" t="s">
        <v>134</v>
      </c>
    </row>
    <row r="53" spans="1:4" x14ac:dyDescent="0.25">
      <c r="A53" t="s">
        <v>137</v>
      </c>
      <c r="B53" t="s">
        <v>0</v>
      </c>
      <c r="C53" s="1">
        <v>2400</v>
      </c>
      <c r="D53" t="s">
        <v>159</v>
      </c>
    </row>
    <row r="54" spans="1:4" x14ac:dyDescent="0.25">
      <c r="A54" t="s">
        <v>160</v>
      </c>
      <c r="B54" t="s">
        <v>30</v>
      </c>
      <c r="C54" s="1">
        <v>10</v>
      </c>
      <c r="D54" t="s">
        <v>31</v>
      </c>
    </row>
    <row r="55" spans="1:4" x14ac:dyDescent="0.25">
      <c r="A55" t="s">
        <v>139</v>
      </c>
      <c r="B55" t="s">
        <v>140</v>
      </c>
      <c r="C55" s="1">
        <f>5</f>
        <v>5</v>
      </c>
      <c r="D55" t="s">
        <v>3</v>
      </c>
    </row>
    <row r="56" spans="1:4" x14ac:dyDescent="0.25">
      <c r="A56" t="s">
        <v>135</v>
      </c>
      <c r="B56" t="s">
        <v>136</v>
      </c>
      <c r="C56">
        <f>C53/C7</f>
        <v>24.489795918367346</v>
      </c>
      <c r="D56" t="s">
        <v>164</v>
      </c>
    </row>
    <row r="57" spans="1:4" x14ac:dyDescent="0.25">
      <c r="A57" t="s">
        <v>161</v>
      </c>
      <c r="B57" t="s">
        <v>162</v>
      </c>
      <c r="C57">
        <f>C53*C54</f>
        <v>24000</v>
      </c>
      <c r="D57" t="s">
        <v>130</v>
      </c>
    </row>
    <row r="58" spans="1:4" x14ac:dyDescent="0.25">
      <c r="A58" t="s">
        <v>141</v>
      </c>
      <c r="B58" t="s">
        <v>163</v>
      </c>
      <c r="C58">
        <f>C56*C55</f>
        <v>122.44897959183673</v>
      </c>
      <c r="D58" t="s">
        <v>130</v>
      </c>
    </row>
    <row r="60" spans="1:4" x14ac:dyDescent="0.25">
      <c r="A60" t="s">
        <v>142</v>
      </c>
    </row>
    <row r="61" spans="1:4" x14ac:dyDescent="0.25">
      <c r="A61" t="s">
        <v>143</v>
      </c>
      <c r="C61">
        <f>C53*(1-C42)</f>
        <v>10.631731194065797</v>
      </c>
      <c r="D61" t="s">
        <v>165</v>
      </c>
    </row>
    <row r="62" spans="1:4" x14ac:dyDescent="0.25">
      <c r="A62" t="s">
        <v>144</v>
      </c>
      <c r="B62" t="s">
        <v>145</v>
      </c>
      <c r="C62" s="1">
        <v>6</v>
      </c>
      <c r="D62" t="s">
        <v>166</v>
      </c>
    </row>
    <row r="63" spans="1:4" x14ac:dyDescent="0.25">
      <c r="A63" t="s">
        <v>33</v>
      </c>
      <c r="C63">
        <f>C61*C62</f>
        <v>63.79038716439478</v>
      </c>
      <c r="D63" t="s">
        <v>130</v>
      </c>
    </row>
    <row r="65" spans="1:4" x14ac:dyDescent="0.25">
      <c r="A65" t="s">
        <v>146</v>
      </c>
      <c r="C65" s="23">
        <f>D49+C58+C63</f>
        <v>676.23936675623156</v>
      </c>
    </row>
    <row r="67" spans="1:4" x14ac:dyDescent="0.25">
      <c r="A67" s="3" t="s">
        <v>14</v>
      </c>
    </row>
    <row r="68" spans="1:4" x14ac:dyDescent="0.25">
      <c r="A68" t="s">
        <v>33</v>
      </c>
      <c r="B68" t="s">
        <v>34</v>
      </c>
      <c r="C68" s="6">
        <f>SUM(C69:C72)</f>
        <v>24676.239366756232</v>
      </c>
      <c r="D68" t="s">
        <v>148</v>
      </c>
    </row>
    <row r="69" spans="1:4" x14ac:dyDescent="0.25">
      <c r="A69" t="s">
        <v>168</v>
      </c>
      <c r="C69" s="6">
        <f>D49</f>
        <v>490</v>
      </c>
    </row>
    <row r="70" spans="1:4" x14ac:dyDescent="0.25">
      <c r="A70" t="s">
        <v>149</v>
      </c>
      <c r="B70" t="s">
        <v>150</v>
      </c>
      <c r="C70" s="6">
        <f>C57</f>
        <v>24000</v>
      </c>
      <c r="D70" t="s">
        <v>148</v>
      </c>
    </row>
    <row r="71" spans="1:4" x14ac:dyDescent="0.25">
      <c r="A71" t="s">
        <v>167</v>
      </c>
      <c r="C71" s="6">
        <f>C58</f>
        <v>122.44897959183673</v>
      </c>
      <c r="D71" t="s">
        <v>148</v>
      </c>
    </row>
    <row r="72" spans="1:4" x14ac:dyDescent="0.25">
      <c r="A72" t="s">
        <v>169</v>
      </c>
      <c r="C72" s="6">
        <f>C63</f>
        <v>63.79038716439478</v>
      </c>
      <c r="D72" t="s">
        <v>148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2"/>
  <sheetViews>
    <sheetView workbookViewId="0">
      <selection activeCell="C5" sqref="C5"/>
    </sheetView>
  </sheetViews>
  <sheetFormatPr defaultRowHeight="15" x14ac:dyDescent="0.25"/>
  <cols>
    <col min="1" max="1" width="20.85546875" customWidth="1"/>
    <col min="2" max="2" width="13.85546875" customWidth="1"/>
    <col min="3" max="3" width="12.28515625" customWidth="1"/>
    <col min="4" max="4" width="11.28515625" customWidth="1"/>
  </cols>
  <sheetData>
    <row r="1" spans="1:4" ht="14.45" x14ac:dyDescent="0.3">
      <c r="A1" s="3" t="s">
        <v>119</v>
      </c>
    </row>
    <row r="2" spans="1:4" ht="14.45" x14ac:dyDescent="0.3">
      <c r="A2" t="s">
        <v>120</v>
      </c>
    </row>
    <row r="4" spans="1:4" x14ac:dyDescent="0.25">
      <c r="A4" s="16" t="s">
        <v>158</v>
      </c>
      <c r="B4" s="16"/>
      <c r="C4" s="16"/>
    </row>
    <row r="5" spans="1:4" ht="18" x14ac:dyDescent="0.35">
      <c r="A5" t="s">
        <v>123</v>
      </c>
      <c r="B5" s="14" t="s">
        <v>121</v>
      </c>
      <c r="C5" s="1">
        <f>2400*6/50</f>
        <v>288</v>
      </c>
      <c r="D5">
        <f>2.13*C6+C5</f>
        <v>450.32780168535515</v>
      </c>
    </row>
    <row r="6" spans="1:4" ht="18" x14ac:dyDescent="0.35">
      <c r="A6" t="s">
        <v>124</v>
      </c>
      <c r="B6" s="14" t="s">
        <v>122</v>
      </c>
      <c r="C6" s="1">
        <f>220*SQRT(6/50)</f>
        <v>76.210235533030598</v>
      </c>
    </row>
    <row r="7" spans="1:4" ht="18" x14ac:dyDescent="0.35">
      <c r="A7" t="s">
        <v>125</v>
      </c>
      <c r="B7" t="s">
        <v>126</v>
      </c>
      <c r="C7" s="1">
        <f>2400*1/50</f>
        <v>48</v>
      </c>
      <c r="D7">
        <f>C7/12</f>
        <v>4</v>
      </c>
    </row>
    <row r="9" spans="1:4" ht="14.45" x14ac:dyDescent="0.3">
      <c r="A9" s="16" t="s">
        <v>76</v>
      </c>
      <c r="B9" s="16"/>
      <c r="C9" s="16"/>
    </row>
    <row r="10" spans="1:4" ht="14.45" x14ac:dyDescent="0.3">
      <c r="A10" t="s">
        <v>77</v>
      </c>
      <c r="B10" t="s">
        <v>78</v>
      </c>
      <c r="C10" s="1">
        <v>0.95</v>
      </c>
    </row>
    <row r="11" spans="1:4" ht="14.45" x14ac:dyDescent="0.3">
      <c r="A11" t="s">
        <v>83</v>
      </c>
      <c r="B11" t="s">
        <v>59</v>
      </c>
      <c r="C11">
        <f>_xlfn.NORM.INV(C10,0,1)</f>
        <v>1.6448536269514715</v>
      </c>
    </row>
    <row r="12" spans="1:4" ht="14.45" x14ac:dyDescent="0.3">
      <c r="A12" t="s">
        <v>118</v>
      </c>
      <c r="B12" t="s">
        <v>80</v>
      </c>
      <c r="C12">
        <f>C5+C6*C11</f>
        <v>413.35468232733126</v>
      </c>
    </row>
    <row r="14" spans="1:4" ht="14.45" x14ac:dyDescent="0.3">
      <c r="A14" s="16" t="s">
        <v>84</v>
      </c>
      <c r="B14" s="16"/>
      <c r="C14" s="16"/>
    </row>
    <row r="15" spans="1:4" ht="15.6" x14ac:dyDescent="0.35">
      <c r="A15" t="s">
        <v>85</v>
      </c>
      <c r="B15" t="s">
        <v>86</v>
      </c>
      <c r="C15" s="1">
        <v>170</v>
      </c>
      <c r="D15" t="s">
        <v>89</v>
      </c>
    </row>
    <row r="16" spans="1:4" x14ac:dyDescent="0.25">
      <c r="A16" t="s">
        <v>87</v>
      </c>
      <c r="B16" t="s">
        <v>88</v>
      </c>
      <c r="C16" s="1">
        <f>1.25/4</f>
        <v>0.3125</v>
      </c>
      <c r="D16" t="s">
        <v>90</v>
      </c>
    </row>
    <row r="17" spans="1:4" x14ac:dyDescent="0.25">
      <c r="A17" t="s">
        <v>83</v>
      </c>
      <c r="B17" t="s">
        <v>59</v>
      </c>
      <c r="C17">
        <f>SQRT(2*LN((C15*C5)/(C16*C6*C7*SQRT(2*PI()))))</f>
        <v>2.3825509038117145</v>
      </c>
    </row>
    <row r="18" spans="1:4" x14ac:dyDescent="0.25">
      <c r="A18" t="s">
        <v>118</v>
      </c>
      <c r="B18" t="s">
        <v>80</v>
      </c>
      <c r="C18">
        <f>C5+C6*C17</f>
        <v>469.57476554892571</v>
      </c>
    </row>
    <row r="20" spans="1:4" x14ac:dyDescent="0.25">
      <c r="A20" s="16" t="s">
        <v>91</v>
      </c>
      <c r="B20" s="16"/>
      <c r="C20" s="16"/>
    </row>
    <row r="21" spans="1:4" x14ac:dyDescent="0.25">
      <c r="A21" t="s">
        <v>92</v>
      </c>
      <c r="B21" t="s">
        <v>93</v>
      </c>
      <c r="C21" s="1">
        <v>0.998</v>
      </c>
    </row>
    <row r="22" spans="1:4" x14ac:dyDescent="0.25">
      <c r="A22" t="s">
        <v>94</v>
      </c>
      <c r="B22" t="s">
        <v>96</v>
      </c>
      <c r="C22">
        <f>C7/C6*(1-C21)</f>
        <v>1.2596733145955484E-3</v>
      </c>
    </row>
    <row r="23" spans="1:4" x14ac:dyDescent="0.25">
      <c r="A23" t="s">
        <v>97</v>
      </c>
      <c r="B23" t="s">
        <v>59</v>
      </c>
      <c r="C23" s="15">
        <v>0.43691509230891878</v>
      </c>
      <c r="D23" t="s">
        <v>98</v>
      </c>
    </row>
    <row r="24" spans="1:4" x14ac:dyDescent="0.25">
      <c r="A24" t="s">
        <v>102</v>
      </c>
      <c r="B24" t="s">
        <v>95</v>
      </c>
      <c r="C24" s="15">
        <f>_xlfn.NORM.S.DIST(C23,FALSE)-C23*(1-_xlfn.NORM.S.DIST(C23,TRUE))</f>
        <v>0.21796836526643149</v>
      </c>
    </row>
    <row r="25" spans="1:4" x14ac:dyDescent="0.25">
      <c r="A25" t="s">
        <v>99</v>
      </c>
      <c r="B25" t="s">
        <v>100</v>
      </c>
      <c r="C25" s="15">
        <f>C22-C24</f>
        <v>-0.21670869195183592</v>
      </c>
      <c r="D25" t="s">
        <v>101</v>
      </c>
    </row>
    <row r="26" spans="1:4" x14ac:dyDescent="0.25">
      <c r="A26" t="s">
        <v>118</v>
      </c>
      <c r="B26" t="s">
        <v>80</v>
      </c>
      <c r="C26" s="15">
        <f>C5+C6*C23</f>
        <v>321.29740209279851</v>
      </c>
    </row>
    <row r="27" spans="1:4" x14ac:dyDescent="0.25">
      <c r="C27">
        <f>1-((C6*C24)/C7)</f>
        <v>0.65392874050615846</v>
      </c>
    </row>
    <row r="29" spans="1:4" x14ac:dyDescent="0.25">
      <c r="A29" s="16" t="s">
        <v>103</v>
      </c>
      <c r="B29" s="16"/>
      <c r="C29" s="16"/>
    </row>
    <row r="30" spans="1:4" ht="18" x14ac:dyDescent="0.35">
      <c r="A30" s="17" t="s">
        <v>131</v>
      </c>
      <c r="B30" s="25" t="s">
        <v>132</v>
      </c>
      <c r="C30" s="28">
        <v>2400</v>
      </c>
    </row>
    <row r="31" spans="1:4" x14ac:dyDescent="0.25">
      <c r="A31" t="s">
        <v>104</v>
      </c>
      <c r="B31" t="s">
        <v>105</v>
      </c>
      <c r="C31" s="1">
        <v>6</v>
      </c>
      <c r="D31" t="s">
        <v>31</v>
      </c>
    </row>
    <row r="32" spans="1:4" x14ac:dyDescent="0.25">
      <c r="A32" t="s">
        <v>87</v>
      </c>
      <c r="B32" t="s">
        <v>88</v>
      </c>
      <c r="C32" s="1">
        <v>2.5</v>
      </c>
      <c r="D32" t="s">
        <v>129</v>
      </c>
    </row>
    <row r="33" spans="1:4" x14ac:dyDescent="0.25">
      <c r="A33" t="s">
        <v>106</v>
      </c>
      <c r="B33" t="s">
        <v>107</v>
      </c>
      <c r="C33">
        <f>C7/C30*C32/C31</f>
        <v>8.3333333333333332E-3</v>
      </c>
    </row>
    <row r="34" spans="1:4" x14ac:dyDescent="0.25">
      <c r="A34" t="s">
        <v>83</v>
      </c>
      <c r="B34" t="s">
        <v>108</v>
      </c>
      <c r="C34">
        <f>_xlfn.NORM.INV(1-C33,0,1)</f>
        <v>2.3939797998185104</v>
      </c>
    </row>
    <row r="35" spans="1:4" x14ac:dyDescent="0.25">
      <c r="A35" t="s">
        <v>118</v>
      </c>
      <c r="B35" t="s">
        <v>170</v>
      </c>
      <c r="C35">
        <f>C5+C6*C34</f>
        <v>470.4457644054861</v>
      </c>
    </row>
    <row r="37" spans="1:4" x14ac:dyDescent="0.25">
      <c r="A37" s="16" t="s">
        <v>109</v>
      </c>
      <c r="B37" s="16"/>
      <c r="C37" s="16"/>
    </row>
    <row r="38" spans="1:4" x14ac:dyDescent="0.25">
      <c r="A38" t="s">
        <v>118</v>
      </c>
      <c r="B38" s="17" t="s">
        <v>170</v>
      </c>
      <c r="C38" s="19">
        <v>470</v>
      </c>
    </row>
    <row r="39" spans="1:4" x14ac:dyDescent="0.25">
      <c r="A39" s="17" t="s">
        <v>117</v>
      </c>
      <c r="B39" s="17" t="s">
        <v>59</v>
      </c>
      <c r="C39" s="21">
        <f>(C38-C5)/C6</f>
        <v>2.388130658920725</v>
      </c>
    </row>
    <row r="40" spans="1:4" x14ac:dyDescent="0.25">
      <c r="A40" s="17" t="s">
        <v>116</v>
      </c>
      <c r="B40" s="17" t="s">
        <v>95</v>
      </c>
      <c r="C40" s="21">
        <f>_xlfn.NORM.DIST(C39,0,1,FALSE)-C39*(1-_xlfn.NORM.DIST(C39,0,1,TRUE))</f>
        <v>2.8193359779169515E-3</v>
      </c>
    </row>
    <row r="41" spans="1:4" x14ac:dyDescent="0.25">
      <c r="A41" s="17" t="s">
        <v>77</v>
      </c>
      <c r="B41" s="17" t="s">
        <v>78</v>
      </c>
      <c r="C41" s="20">
        <f>_xlfn.NORM.DIST(C38,C5,C6,TRUE)</f>
        <v>0.99153283996248986</v>
      </c>
    </row>
    <row r="42" spans="1:4" x14ac:dyDescent="0.25">
      <c r="A42" s="17" t="s">
        <v>92</v>
      </c>
      <c r="B42" s="17" t="s">
        <v>93</v>
      </c>
      <c r="C42" s="22">
        <f>1-(C6*C40/C7)</f>
        <v>0.99552370293908754</v>
      </c>
    </row>
    <row r="43" spans="1:4" x14ac:dyDescent="0.25">
      <c r="A43" s="17"/>
    </row>
    <row r="44" spans="1:4" x14ac:dyDescent="0.25">
      <c r="A44" s="17" t="s">
        <v>133</v>
      </c>
    </row>
    <row r="45" spans="1:4" x14ac:dyDescent="0.25">
      <c r="A45" s="17"/>
      <c r="B45" s="24" t="s">
        <v>113</v>
      </c>
      <c r="C45" s="24" t="s">
        <v>114</v>
      </c>
      <c r="D45" s="24" t="s">
        <v>112</v>
      </c>
    </row>
    <row r="46" spans="1:4" x14ac:dyDescent="0.25">
      <c r="A46" s="17" t="s">
        <v>110</v>
      </c>
      <c r="B46" s="1">
        <v>2.5</v>
      </c>
      <c r="C46" s="12">
        <f>C7/2</f>
        <v>24</v>
      </c>
      <c r="D46" s="23">
        <f>B46*C46</f>
        <v>60</v>
      </c>
    </row>
    <row r="47" spans="1:4" x14ac:dyDescent="0.25">
      <c r="A47" s="17" t="s">
        <v>79</v>
      </c>
      <c r="B47" s="1">
        <v>2.5</v>
      </c>
      <c r="C47" s="12">
        <f>C39*C6</f>
        <v>182</v>
      </c>
      <c r="D47" s="23">
        <f t="shared" ref="D47:D48" si="0">B47*C47</f>
        <v>455</v>
      </c>
    </row>
    <row r="48" spans="1:4" x14ac:dyDescent="0.25">
      <c r="A48" s="17" t="s">
        <v>111</v>
      </c>
      <c r="B48" s="1">
        <v>0</v>
      </c>
      <c r="C48" s="12">
        <f>C5</f>
        <v>288</v>
      </c>
      <c r="D48" s="23">
        <f t="shared" si="0"/>
        <v>0</v>
      </c>
    </row>
    <row r="49" spans="1:4" x14ac:dyDescent="0.25">
      <c r="A49" s="17" t="s">
        <v>115</v>
      </c>
      <c r="D49" s="23">
        <f>SUM(D46:D48)</f>
        <v>515</v>
      </c>
    </row>
    <row r="51" spans="1:4" x14ac:dyDescent="0.25">
      <c r="A51" s="18" t="s">
        <v>134</v>
      </c>
    </row>
    <row r="53" spans="1:4" x14ac:dyDescent="0.25">
      <c r="A53" t="s">
        <v>137</v>
      </c>
      <c r="B53" t="s">
        <v>138</v>
      </c>
      <c r="C53" s="1">
        <v>2400</v>
      </c>
      <c r="D53" t="s">
        <v>159</v>
      </c>
    </row>
    <row r="54" spans="1:4" x14ac:dyDescent="0.25">
      <c r="A54" t="s">
        <v>160</v>
      </c>
      <c r="B54" t="s">
        <v>30</v>
      </c>
      <c r="C54" s="1">
        <v>10</v>
      </c>
      <c r="D54" t="s">
        <v>31</v>
      </c>
    </row>
    <row r="55" spans="1:4" x14ac:dyDescent="0.25">
      <c r="A55" t="s">
        <v>139</v>
      </c>
      <c r="B55" t="s">
        <v>140</v>
      </c>
      <c r="C55" s="1">
        <v>5</v>
      </c>
      <c r="D55" t="s">
        <v>3</v>
      </c>
    </row>
    <row r="56" spans="1:4" x14ac:dyDescent="0.25">
      <c r="A56" t="s">
        <v>135</v>
      </c>
      <c r="B56" t="s">
        <v>136</v>
      </c>
      <c r="C56">
        <f>C53/C7</f>
        <v>50</v>
      </c>
      <c r="D56" t="s">
        <v>164</v>
      </c>
    </row>
    <row r="57" spans="1:4" x14ac:dyDescent="0.25">
      <c r="A57" t="s">
        <v>161</v>
      </c>
      <c r="B57" t="s">
        <v>162</v>
      </c>
      <c r="C57">
        <f>C53*C54</f>
        <v>24000</v>
      </c>
      <c r="D57" t="s">
        <v>130</v>
      </c>
    </row>
    <row r="58" spans="1:4" x14ac:dyDescent="0.25">
      <c r="A58" t="s">
        <v>171</v>
      </c>
      <c r="B58" t="s">
        <v>163</v>
      </c>
      <c r="C58">
        <f>C56*C55</f>
        <v>250</v>
      </c>
      <c r="D58" t="s">
        <v>130</v>
      </c>
    </row>
    <row r="60" spans="1:4" x14ac:dyDescent="0.25">
      <c r="A60" t="s">
        <v>142</v>
      </c>
    </row>
    <row r="61" spans="1:4" x14ac:dyDescent="0.25">
      <c r="A61" t="s">
        <v>143</v>
      </c>
      <c r="C61">
        <f>C53*(1-C42)</f>
        <v>10.743112946189903</v>
      </c>
    </row>
    <row r="62" spans="1:4" x14ac:dyDescent="0.25">
      <c r="A62" t="s">
        <v>144</v>
      </c>
      <c r="B62" t="s">
        <v>145</v>
      </c>
      <c r="C62" s="1">
        <v>6</v>
      </c>
    </row>
    <row r="63" spans="1:4" x14ac:dyDescent="0.25">
      <c r="A63" t="s">
        <v>33</v>
      </c>
      <c r="C63">
        <f>C61*C62</f>
        <v>64.45867767713942</v>
      </c>
    </row>
    <row r="65" spans="1:4" x14ac:dyDescent="0.25">
      <c r="A65" t="s">
        <v>146</v>
      </c>
      <c r="C65" s="23">
        <f>D49+C58+C63</f>
        <v>829.45867767713946</v>
      </c>
    </row>
    <row r="67" spans="1:4" x14ac:dyDescent="0.25">
      <c r="A67" s="3" t="s">
        <v>14</v>
      </c>
    </row>
    <row r="68" spans="1:4" x14ac:dyDescent="0.25">
      <c r="A68" t="s">
        <v>33</v>
      </c>
      <c r="B68" t="s">
        <v>34</v>
      </c>
      <c r="C68" s="6">
        <f>SUM(C69:C72)</f>
        <v>24829.458677677139</v>
      </c>
      <c r="D68" t="s">
        <v>148</v>
      </c>
    </row>
    <row r="69" spans="1:4" x14ac:dyDescent="0.25">
      <c r="A69" t="s">
        <v>168</v>
      </c>
      <c r="C69" s="6">
        <f>D49</f>
        <v>515</v>
      </c>
    </row>
    <row r="70" spans="1:4" x14ac:dyDescent="0.25">
      <c r="A70" t="s">
        <v>149</v>
      </c>
      <c r="B70" t="s">
        <v>150</v>
      </c>
      <c r="C70" s="6">
        <f>C57</f>
        <v>24000</v>
      </c>
      <c r="D70" t="s">
        <v>148</v>
      </c>
    </row>
    <row r="71" spans="1:4" x14ac:dyDescent="0.25">
      <c r="A71" t="s">
        <v>167</v>
      </c>
      <c r="C71" s="6">
        <f>C58</f>
        <v>250</v>
      </c>
      <c r="D71" t="s">
        <v>148</v>
      </c>
    </row>
    <row r="72" spans="1:4" x14ac:dyDescent="0.25">
      <c r="A72" t="s">
        <v>169</v>
      </c>
      <c r="C72" s="6">
        <f>C63</f>
        <v>64.45867767713942</v>
      </c>
      <c r="D72" t="s">
        <v>148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D11" sqref="D11:D18"/>
    </sheetView>
  </sheetViews>
  <sheetFormatPr defaultRowHeight="15" x14ac:dyDescent="0.25"/>
  <cols>
    <col min="1" max="1" width="29.42578125" customWidth="1"/>
    <col min="2" max="2" width="19.7109375" customWidth="1"/>
  </cols>
  <sheetData>
    <row r="1" spans="1:4" x14ac:dyDescent="0.25">
      <c r="A1" s="3" t="s">
        <v>190</v>
      </c>
    </row>
    <row r="3" spans="1:4" x14ac:dyDescent="0.25">
      <c r="A3" t="s">
        <v>158</v>
      </c>
    </row>
    <row r="4" spans="1:4" x14ac:dyDescent="0.25">
      <c r="A4" t="s">
        <v>189</v>
      </c>
      <c r="B4" t="s">
        <v>191</v>
      </c>
      <c r="C4">
        <v>100</v>
      </c>
      <c r="D4" t="s">
        <v>196</v>
      </c>
    </row>
    <row r="5" spans="1:4" x14ac:dyDescent="0.25">
      <c r="A5" t="s">
        <v>201</v>
      </c>
      <c r="B5" t="s">
        <v>206</v>
      </c>
      <c r="C5">
        <v>150</v>
      </c>
      <c r="D5" t="s">
        <v>197</v>
      </c>
    </row>
    <row r="6" spans="1:4" x14ac:dyDescent="0.25">
      <c r="A6" t="s">
        <v>202</v>
      </c>
      <c r="B6" t="s">
        <v>192</v>
      </c>
      <c r="C6">
        <v>5</v>
      </c>
      <c r="D6" t="s">
        <v>41</v>
      </c>
    </row>
    <row r="7" spans="1:4" ht="18" x14ac:dyDescent="0.35">
      <c r="A7" t="s">
        <v>203</v>
      </c>
      <c r="B7" t="s">
        <v>194</v>
      </c>
      <c r="C7">
        <v>10</v>
      </c>
      <c r="D7" t="s">
        <v>200</v>
      </c>
    </row>
    <row r="8" spans="1:4" ht="18" x14ac:dyDescent="0.35">
      <c r="A8" t="s">
        <v>204</v>
      </c>
      <c r="B8" t="s">
        <v>193</v>
      </c>
      <c r="C8">
        <v>1</v>
      </c>
      <c r="D8" t="s">
        <v>198</v>
      </c>
    </row>
    <row r="9" spans="1:4" x14ac:dyDescent="0.25">
      <c r="A9" t="s">
        <v>205</v>
      </c>
      <c r="B9" t="s">
        <v>195</v>
      </c>
      <c r="C9">
        <v>5</v>
      </c>
      <c r="D9" t="s">
        <v>199</v>
      </c>
    </row>
    <row r="11" spans="1:4" x14ac:dyDescent="0.25">
      <c r="A11" t="s">
        <v>216</v>
      </c>
      <c r="B11" t="s">
        <v>217</v>
      </c>
      <c r="C11">
        <v>7</v>
      </c>
    </row>
    <row r="12" spans="1:4" x14ac:dyDescent="0.25">
      <c r="A12" t="s">
        <v>208</v>
      </c>
      <c r="B12" s="14" t="s">
        <v>209</v>
      </c>
      <c r="C12">
        <f>325/400</f>
        <v>0.8125</v>
      </c>
    </row>
    <row r="13" spans="1:4" x14ac:dyDescent="0.25">
      <c r="A13" t="s">
        <v>210</v>
      </c>
      <c r="B13" s="14" t="s">
        <v>211</v>
      </c>
      <c r="C13">
        <v>1.1499999999999999</v>
      </c>
    </row>
    <row r="14" spans="1:4" x14ac:dyDescent="0.25">
      <c r="A14" t="s">
        <v>214</v>
      </c>
      <c r="B14" s="14" t="s">
        <v>212</v>
      </c>
      <c r="C14" s="29">
        <f>C13*C4/SQRT(C12)</f>
        <v>127.58104513180268</v>
      </c>
    </row>
    <row r="15" spans="1:4" x14ac:dyDescent="0.25">
      <c r="A15" t="s">
        <v>215</v>
      </c>
      <c r="B15" s="14" t="s">
        <v>213</v>
      </c>
    </row>
    <row r="17" spans="1:3" x14ac:dyDescent="0.25">
      <c r="A17" t="s">
        <v>218</v>
      </c>
      <c r="B17" t="s">
        <v>219</v>
      </c>
      <c r="C17">
        <f>C5/C6+0.5</f>
        <v>30.5</v>
      </c>
    </row>
    <row r="18" spans="1:3" x14ac:dyDescent="0.25">
      <c r="A18" t="s">
        <v>220</v>
      </c>
      <c r="B18" t="s">
        <v>221</v>
      </c>
      <c r="C18">
        <f>C7*(C4+C17)</f>
        <v>1305</v>
      </c>
    </row>
    <row r="19" spans="1:3" x14ac:dyDescent="0.25">
      <c r="A19" t="s">
        <v>225</v>
      </c>
      <c r="B19" t="s">
        <v>227</v>
      </c>
      <c r="C19">
        <f>C8*(2*C17*C11)</f>
        <v>427</v>
      </c>
    </row>
    <row r="20" spans="1:3" x14ac:dyDescent="0.25">
      <c r="A20" t="s">
        <v>226</v>
      </c>
      <c r="B20" t="s">
        <v>228</v>
      </c>
      <c r="C20">
        <f>C8*C14</f>
        <v>127.58104513180268</v>
      </c>
    </row>
    <row r="21" spans="1:3" x14ac:dyDescent="0.25">
      <c r="A21" t="s">
        <v>222</v>
      </c>
      <c r="B21" t="s">
        <v>223</v>
      </c>
      <c r="C21">
        <f>C9*C5</f>
        <v>750</v>
      </c>
    </row>
    <row r="23" spans="1:3" x14ac:dyDescent="0.25">
      <c r="A23" t="s">
        <v>224</v>
      </c>
      <c r="C23">
        <f>C18+C19+C20+C21</f>
        <v>2609.581045131803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topLeftCell="A31" workbookViewId="0">
      <selection activeCell="C52" sqref="C52"/>
    </sheetView>
  </sheetViews>
  <sheetFormatPr defaultRowHeight="15" x14ac:dyDescent="0.25"/>
  <cols>
    <col min="1" max="1" width="20.85546875" customWidth="1"/>
    <col min="2" max="2" width="13.85546875" customWidth="1"/>
    <col min="3" max="3" width="11.5703125" bestFit="1" customWidth="1"/>
    <col min="4" max="4" width="11.28515625" customWidth="1"/>
  </cols>
  <sheetData>
    <row r="1" spans="1:4" ht="14.45" x14ac:dyDescent="0.3">
      <c r="A1" s="3" t="s">
        <v>81</v>
      </c>
    </row>
    <row r="2" spans="1:4" ht="14.45" x14ac:dyDescent="0.3">
      <c r="A2" t="s">
        <v>82</v>
      </c>
    </row>
    <row r="4" spans="1:4" x14ac:dyDescent="0.25">
      <c r="A4" s="16" t="s">
        <v>158</v>
      </c>
      <c r="B4" s="16"/>
      <c r="C4" s="16"/>
    </row>
    <row r="5" spans="1:4" ht="18" x14ac:dyDescent="0.35">
      <c r="A5" t="s">
        <v>67</v>
      </c>
      <c r="B5" s="14" t="s">
        <v>231</v>
      </c>
      <c r="C5" s="1">
        <v>1250</v>
      </c>
      <c r="D5" t="s">
        <v>232</v>
      </c>
    </row>
    <row r="6" spans="1:4" ht="18" x14ac:dyDescent="0.35">
      <c r="A6" t="s">
        <v>68</v>
      </c>
      <c r="B6" s="14" t="s">
        <v>230</v>
      </c>
      <c r="C6" s="1">
        <v>200</v>
      </c>
      <c r="D6" t="s">
        <v>232</v>
      </c>
    </row>
    <row r="7" spans="1:4" x14ac:dyDescent="0.25">
      <c r="A7" t="s">
        <v>19</v>
      </c>
      <c r="B7" t="s">
        <v>20</v>
      </c>
      <c r="C7" s="1">
        <v>5</v>
      </c>
      <c r="D7" t="s">
        <v>22</v>
      </c>
    </row>
    <row r="8" spans="1:4" ht="14.45" x14ac:dyDescent="0.3">
      <c r="A8" t="s">
        <v>5</v>
      </c>
      <c r="B8" t="s">
        <v>7</v>
      </c>
      <c r="C8" s="1">
        <v>44720</v>
      </c>
      <c r="D8" t="s">
        <v>75</v>
      </c>
    </row>
    <row r="10" spans="1:4" x14ac:dyDescent="0.25">
      <c r="A10" s="16" t="s">
        <v>237</v>
      </c>
      <c r="B10" s="16"/>
      <c r="C10" s="16"/>
    </row>
    <row r="11" spans="1:4" ht="18" x14ac:dyDescent="0.35">
      <c r="A11" t="s">
        <v>67</v>
      </c>
      <c r="B11" s="14" t="s">
        <v>70</v>
      </c>
      <c r="C11" s="29">
        <f>C5*C7</f>
        <v>6250</v>
      </c>
      <c r="D11">
        <f>C11*50/5</f>
        <v>62500</v>
      </c>
    </row>
    <row r="12" spans="1:4" ht="18" x14ac:dyDescent="0.35">
      <c r="A12" t="s">
        <v>68</v>
      </c>
      <c r="B12" s="14" t="s">
        <v>69</v>
      </c>
      <c r="C12" s="29">
        <f>C6*SQRT(C7)</f>
        <v>447.21359549995793</v>
      </c>
      <c r="D12">
        <f>C12*SQRT(50/5)</f>
        <v>1414.2135623730951</v>
      </c>
    </row>
    <row r="14" spans="1:4" ht="14.45" x14ac:dyDescent="0.3">
      <c r="A14" s="16" t="s">
        <v>76</v>
      </c>
      <c r="B14" s="16"/>
      <c r="C14" s="16"/>
    </row>
    <row r="15" spans="1:4" ht="14.45" x14ac:dyDescent="0.3">
      <c r="A15" t="s">
        <v>77</v>
      </c>
      <c r="B15" t="s">
        <v>78</v>
      </c>
      <c r="C15" s="1">
        <v>0.95</v>
      </c>
    </row>
    <row r="16" spans="1:4" ht="14.45" x14ac:dyDescent="0.3">
      <c r="A16" t="s">
        <v>83</v>
      </c>
      <c r="B16" t="s">
        <v>59</v>
      </c>
      <c r="C16">
        <f>_xlfn.NORM.INV(C15,0,1)</f>
        <v>1.6448536269514715</v>
      </c>
    </row>
    <row r="17" spans="1:4" ht="14.45" x14ac:dyDescent="0.3">
      <c r="A17" t="s">
        <v>118</v>
      </c>
      <c r="B17" t="s">
        <v>80</v>
      </c>
      <c r="C17">
        <f>C11+C12*C16</f>
        <v>6985.6009045801138</v>
      </c>
      <c r="D17">
        <f>C12*C16</f>
        <v>735.60090458011405</v>
      </c>
    </row>
    <row r="18" spans="1:4" x14ac:dyDescent="0.25">
      <c r="D18">
        <f>D17+C11</f>
        <v>6985.6009045801138</v>
      </c>
    </row>
    <row r="19" spans="1:4" ht="14.45" x14ac:dyDescent="0.3">
      <c r="A19" s="16" t="s">
        <v>84</v>
      </c>
      <c r="B19" s="16"/>
      <c r="C19" s="16"/>
    </row>
    <row r="20" spans="1:4" ht="15.6" x14ac:dyDescent="0.35">
      <c r="A20" t="s">
        <v>85</v>
      </c>
      <c r="B20" t="s">
        <v>86</v>
      </c>
      <c r="C20" s="1">
        <v>170</v>
      </c>
      <c r="D20" t="s">
        <v>89</v>
      </c>
    </row>
    <row r="21" spans="1:4" ht="14.45" x14ac:dyDescent="0.3">
      <c r="A21" t="s">
        <v>87</v>
      </c>
      <c r="B21" t="s">
        <v>88</v>
      </c>
      <c r="C21" s="1">
        <f>1.25/4</f>
        <v>0.3125</v>
      </c>
      <c r="D21" t="s">
        <v>90</v>
      </c>
    </row>
    <row r="22" spans="1:4" ht="14.45" x14ac:dyDescent="0.3">
      <c r="A22" t="s">
        <v>83</v>
      </c>
      <c r="B22" t="s">
        <v>59</v>
      </c>
      <c r="C22" t="e">
        <f>SQRT(2*LN((C20*C11)/(C21*C12*C8*SQRT(2*PI()))))</f>
        <v>#NUM!</v>
      </c>
    </row>
    <row r="23" spans="1:4" ht="14.45" x14ac:dyDescent="0.3">
      <c r="A23" t="s">
        <v>118</v>
      </c>
      <c r="B23" t="s">
        <v>80</v>
      </c>
      <c r="C23" t="e">
        <f>C11+C12*C22</f>
        <v>#NUM!</v>
      </c>
    </row>
    <row r="25" spans="1:4" ht="14.45" x14ac:dyDescent="0.3">
      <c r="A25" s="16" t="s">
        <v>91</v>
      </c>
      <c r="B25" s="16"/>
      <c r="C25" s="16"/>
    </row>
    <row r="26" spans="1:4" ht="14.45" x14ac:dyDescent="0.3">
      <c r="A26" t="s">
        <v>92</v>
      </c>
      <c r="B26" t="s">
        <v>93</v>
      </c>
      <c r="C26" s="1">
        <v>0.95</v>
      </c>
    </row>
    <row r="27" spans="1:4" ht="14.45" x14ac:dyDescent="0.3">
      <c r="A27" t="s">
        <v>94</v>
      </c>
      <c r="B27" t="s">
        <v>96</v>
      </c>
      <c r="C27">
        <f>C8/C12*(1-C26)</f>
        <v>4.9998479976895345</v>
      </c>
    </row>
    <row r="28" spans="1:4" ht="14.45" x14ac:dyDescent="0.3">
      <c r="A28" t="s">
        <v>97</v>
      </c>
      <c r="B28" t="s">
        <v>59</v>
      </c>
      <c r="C28" s="15">
        <v>1.71</v>
      </c>
      <c r="D28" t="s">
        <v>98</v>
      </c>
    </row>
    <row r="29" spans="1:4" ht="14.45" x14ac:dyDescent="0.3">
      <c r="A29" t="s">
        <v>102</v>
      </c>
      <c r="B29" t="s">
        <v>95</v>
      </c>
      <c r="C29" s="15">
        <f>_xlfn.NORM.S.DIST(C28,FALSE)-C28*(1-_xlfn.NORM.S.DIST(C28,TRUE))</f>
        <v>1.7846811940486165E-2</v>
      </c>
    </row>
    <row r="30" spans="1:4" ht="14.45" x14ac:dyDescent="0.3">
      <c r="A30" t="s">
        <v>99</v>
      </c>
      <c r="B30" t="s">
        <v>100</v>
      </c>
      <c r="C30" s="15">
        <f>C27-C29</f>
        <v>4.9820011857490485</v>
      </c>
      <c r="D30" t="s">
        <v>101</v>
      </c>
    </row>
    <row r="31" spans="1:4" ht="14.45" x14ac:dyDescent="0.3">
      <c r="A31" t="s">
        <v>118</v>
      </c>
      <c r="B31" t="s">
        <v>80</v>
      </c>
      <c r="C31" s="15">
        <f>C11+C12*C28</f>
        <v>7014.7352483049281</v>
      </c>
    </row>
    <row r="32" spans="1:4" ht="14.45" x14ac:dyDescent="0.3">
      <c r="C32">
        <f>1-((C12*C29)/C8)</f>
        <v>0.99982152645491684</v>
      </c>
    </row>
    <row r="34" spans="1:4" ht="14.45" x14ac:dyDescent="0.3">
      <c r="A34" s="16" t="s">
        <v>103</v>
      </c>
      <c r="B34" s="16"/>
      <c r="C34" s="16"/>
    </row>
    <row r="35" spans="1:4" ht="14.45" x14ac:dyDescent="0.3">
      <c r="A35" s="17" t="s">
        <v>127</v>
      </c>
      <c r="B35" s="25" t="s">
        <v>128</v>
      </c>
      <c r="C35" s="28">
        <v>2400</v>
      </c>
      <c r="D35" t="s">
        <v>159</v>
      </c>
    </row>
    <row r="36" spans="1:4" ht="14.45" x14ac:dyDescent="0.3">
      <c r="A36" t="s">
        <v>104</v>
      </c>
      <c r="B36" t="s">
        <v>105</v>
      </c>
      <c r="C36" s="1">
        <v>6</v>
      </c>
      <c r="D36" t="s">
        <v>31</v>
      </c>
    </row>
    <row r="37" spans="1:4" ht="14.45" x14ac:dyDescent="0.3">
      <c r="A37" t="s">
        <v>87</v>
      </c>
      <c r="B37" t="s">
        <v>88</v>
      </c>
      <c r="C37" s="1">
        <v>2.5</v>
      </c>
      <c r="D37" t="s">
        <v>129</v>
      </c>
    </row>
    <row r="38" spans="1:4" ht="14.45" x14ac:dyDescent="0.3">
      <c r="A38" t="s">
        <v>106</v>
      </c>
      <c r="B38" t="s">
        <v>107</v>
      </c>
      <c r="C38">
        <f>C8/C35*C37/C36</f>
        <v>7.7638888888888884</v>
      </c>
    </row>
    <row r="39" spans="1:4" ht="14.45" x14ac:dyDescent="0.3">
      <c r="A39" t="s">
        <v>83</v>
      </c>
      <c r="B39" t="s">
        <v>108</v>
      </c>
      <c r="C39" t="e">
        <f>_xlfn.NORM.INV(1-C38,0,1)</f>
        <v>#NUM!</v>
      </c>
    </row>
    <row r="40" spans="1:4" ht="14.45" x14ac:dyDescent="0.3">
      <c r="A40" t="s">
        <v>118</v>
      </c>
      <c r="B40" t="s">
        <v>80</v>
      </c>
      <c r="C40" t="e">
        <f>C11+C12*C39</f>
        <v>#NUM!</v>
      </c>
    </row>
    <row r="42" spans="1:4" ht="14.45" x14ac:dyDescent="0.3">
      <c r="A42" s="16" t="s">
        <v>109</v>
      </c>
      <c r="B42" s="16"/>
      <c r="C42" s="16"/>
    </row>
    <row r="43" spans="1:4" ht="14.45" x14ac:dyDescent="0.3">
      <c r="A43" t="s">
        <v>118</v>
      </c>
      <c r="B43" s="17" t="s">
        <v>80</v>
      </c>
      <c r="C43" s="19">
        <v>7015</v>
      </c>
    </row>
    <row r="44" spans="1:4" ht="14.45" x14ac:dyDescent="0.3">
      <c r="A44" s="17" t="s">
        <v>117</v>
      </c>
      <c r="B44" s="17" t="s">
        <v>59</v>
      </c>
      <c r="C44" s="21">
        <f>(C43-C11)/C12</f>
        <v>1.7105920027873391</v>
      </c>
    </row>
    <row r="45" spans="1:4" ht="14.45" x14ac:dyDescent="0.3">
      <c r="A45" s="17" t="s">
        <v>116</v>
      </c>
      <c r="B45" s="17" t="s">
        <v>95</v>
      </c>
      <c r="C45" s="21">
        <f>_xlfn.NORM.DIST(C44,0,1,FALSE)-C44*(1-_xlfn.NORM.DIST(C44,0,1,TRUE))</f>
        <v>1.782099731692928E-2</v>
      </c>
    </row>
    <row r="46" spans="1:4" ht="14.45" x14ac:dyDescent="0.3">
      <c r="A46" s="17" t="s">
        <v>77</v>
      </c>
      <c r="B46" s="17" t="s">
        <v>78</v>
      </c>
      <c r="C46" s="20">
        <f>_xlfn.NORM.DIST(C43,C11,C12,TRUE)</f>
        <v>0.9564217718414687</v>
      </c>
    </row>
    <row r="47" spans="1:4" x14ac:dyDescent="0.25">
      <c r="A47" s="17" t="s">
        <v>92</v>
      </c>
      <c r="B47" s="17" t="s">
        <v>93</v>
      </c>
      <c r="C47" s="22">
        <f>1-(C12*C45/C8)</f>
        <v>0.99982178460900051</v>
      </c>
    </row>
    <row r="48" spans="1:4" x14ac:dyDescent="0.25">
      <c r="A48" s="17"/>
    </row>
    <row r="49" spans="1:4" x14ac:dyDescent="0.25">
      <c r="A49" s="17" t="s">
        <v>133</v>
      </c>
    </row>
    <row r="50" spans="1:4" x14ac:dyDescent="0.25">
      <c r="A50" s="17"/>
      <c r="B50" s="24" t="s">
        <v>113</v>
      </c>
      <c r="C50" s="24" t="s">
        <v>114</v>
      </c>
      <c r="D50" s="24" t="s">
        <v>112</v>
      </c>
    </row>
    <row r="51" spans="1:4" x14ac:dyDescent="0.25">
      <c r="A51" s="17" t="s">
        <v>110</v>
      </c>
      <c r="B51" s="1">
        <v>2.5</v>
      </c>
      <c r="C51" s="12">
        <f>C8/2</f>
        <v>22360</v>
      </c>
      <c r="D51" s="23">
        <f>B51*C51</f>
        <v>55900</v>
      </c>
    </row>
    <row r="52" spans="1:4" x14ac:dyDescent="0.25">
      <c r="A52" s="17" t="s">
        <v>79</v>
      </c>
      <c r="B52" s="1">
        <v>2.5</v>
      </c>
      <c r="C52" s="12">
        <f>C43-C11</f>
        <v>765</v>
      </c>
      <c r="D52" s="23">
        <f t="shared" ref="D52:D53" si="0">B52*C52</f>
        <v>1912.5</v>
      </c>
    </row>
    <row r="53" spans="1:4" x14ac:dyDescent="0.25">
      <c r="A53" s="17" t="s">
        <v>111</v>
      </c>
      <c r="B53" s="1">
        <v>0</v>
      </c>
      <c r="C53" s="12">
        <f>C11</f>
        <v>6250</v>
      </c>
      <c r="D53" s="23">
        <f t="shared" si="0"/>
        <v>0</v>
      </c>
    </row>
    <row r="54" spans="1:4" x14ac:dyDescent="0.25">
      <c r="A54" s="17" t="s">
        <v>115</v>
      </c>
      <c r="D54" s="23">
        <f>SUM(D51:D53)</f>
        <v>57812.5</v>
      </c>
    </row>
    <row r="56" spans="1:4" x14ac:dyDescent="0.25">
      <c r="A56" s="18" t="s">
        <v>134</v>
      </c>
    </row>
    <row r="58" spans="1:4" x14ac:dyDescent="0.25">
      <c r="A58" t="s">
        <v>137</v>
      </c>
      <c r="B58" t="s">
        <v>0</v>
      </c>
      <c r="C58" s="1">
        <v>2400</v>
      </c>
      <c r="D58" t="s">
        <v>159</v>
      </c>
    </row>
    <row r="59" spans="1:4" x14ac:dyDescent="0.25">
      <c r="A59" t="s">
        <v>160</v>
      </c>
      <c r="B59" t="s">
        <v>30</v>
      </c>
      <c r="C59" s="1">
        <v>10</v>
      </c>
      <c r="D59" t="s">
        <v>31</v>
      </c>
    </row>
    <row r="60" spans="1:4" x14ac:dyDescent="0.25">
      <c r="A60" t="s">
        <v>139</v>
      </c>
      <c r="B60" t="s">
        <v>140</v>
      </c>
      <c r="C60" s="1">
        <f>5</f>
        <v>5</v>
      </c>
      <c r="D60" t="s">
        <v>3</v>
      </c>
    </row>
    <row r="61" spans="1:4" x14ac:dyDescent="0.25">
      <c r="A61" t="s">
        <v>135</v>
      </c>
      <c r="B61" t="s">
        <v>136</v>
      </c>
      <c r="C61">
        <f>C58/C8</f>
        <v>5.3667262969588549E-2</v>
      </c>
      <c r="D61" t="s">
        <v>164</v>
      </c>
    </row>
    <row r="62" spans="1:4" x14ac:dyDescent="0.25">
      <c r="A62" t="s">
        <v>161</v>
      </c>
      <c r="B62" t="s">
        <v>162</v>
      </c>
      <c r="C62">
        <f>C58*C59</f>
        <v>24000</v>
      </c>
      <c r="D62" t="s">
        <v>130</v>
      </c>
    </row>
    <row r="63" spans="1:4" x14ac:dyDescent="0.25">
      <c r="A63" t="s">
        <v>141</v>
      </c>
      <c r="B63" t="s">
        <v>163</v>
      </c>
      <c r="C63">
        <f>C61*C60</f>
        <v>0.26833631484794274</v>
      </c>
      <c r="D63" t="s">
        <v>130</v>
      </c>
    </row>
    <row r="65" spans="1:4" x14ac:dyDescent="0.25">
      <c r="A65" t="s">
        <v>142</v>
      </c>
    </row>
    <row r="66" spans="1:4" x14ac:dyDescent="0.25">
      <c r="A66" t="s">
        <v>143</v>
      </c>
      <c r="C66">
        <f>C58*(1-C47)</f>
        <v>0.42771693839878111</v>
      </c>
      <c r="D66" t="s">
        <v>165</v>
      </c>
    </row>
    <row r="67" spans="1:4" x14ac:dyDescent="0.25">
      <c r="A67" t="s">
        <v>144</v>
      </c>
      <c r="B67" t="s">
        <v>145</v>
      </c>
      <c r="C67" s="1">
        <v>6</v>
      </c>
      <c r="D67" t="s">
        <v>166</v>
      </c>
    </row>
    <row r="68" spans="1:4" x14ac:dyDescent="0.25">
      <c r="A68" t="s">
        <v>33</v>
      </c>
      <c r="C68">
        <f>C66*C67</f>
        <v>2.5663016303926867</v>
      </c>
      <c r="D68" t="s">
        <v>130</v>
      </c>
    </row>
    <row r="70" spans="1:4" x14ac:dyDescent="0.25">
      <c r="A70" t="s">
        <v>146</v>
      </c>
      <c r="C70" s="23">
        <f>D54+C63+C68</f>
        <v>57815.334637945241</v>
      </c>
    </row>
    <row r="72" spans="1:4" x14ac:dyDescent="0.25">
      <c r="A72" s="3" t="s">
        <v>14</v>
      </c>
    </row>
    <row r="73" spans="1:4" x14ac:dyDescent="0.25">
      <c r="A73" t="s">
        <v>33</v>
      </c>
      <c r="B73" t="s">
        <v>34</v>
      </c>
      <c r="C73" s="6">
        <f>SUM(C74:C77)</f>
        <v>81815.334637945241</v>
      </c>
      <c r="D73" t="s">
        <v>148</v>
      </c>
    </row>
    <row r="74" spans="1:4" x14ac:dyDescent="0.25">
      <c r="A74" t="s">
        <v>168</v>
      </c>
      <c r="C74" s="6">
        <f>D54</f>
        <v>57812.5</v>
      </c>
    </row>
    <row r="75" spans="1:4" x14ac:dyDescent="0.25">
      <c r="A75" t="s">
        <v>149</v>
      </c>
      <c r="B75" t="s">
        <v>150</v>
      </c>
      <c r="C75" s="6">
        <f>C62</f>
        <v>24000</v>
      </c>
      <c r="D75" t="s">
        <v>148</v>
      </c>
    </row>
    <row r="76" spans="1:4" x14ac:dyDescent="0.25">
      <c r="A76" t="s">
        <v>167</v>
      </c>
      <c r="C76" s="6">
        <f>C63</f>
        <v>0.26833631484794274</v>
      </c>
      <c r="D76" t="s">
        <v>148</v>
      </c>
    </row>
    <row r="77" spans="1:4" x14ac:dyDescent="0.25">
      <c r="A77" t="s">
        <v>169</v>
      </c>
      <c r="C77" s="6">
        <f>C68</f>
        <v>2.5663016303926867</v>
      </c>
      <c r="D77" t="s">
        <v>148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EOQ</vt:lpstr>
      <vt:lpstr>EOQ w PBO</vt:lpstr>
      <vt:lpstr>EOQ w LT variable</vt:lpstr>
      <vt:lpstr>Single Period</vt:lpstr>
      <vt:lpstr>Base Stock</vt:lpstr>
      <vt:lpstr>Continuous (s,Q)</vt:lpstr>
      <vt:lpstr>Periodic (R,S)</vt:lpstr>
      <vt:lpstr>Transportation Costs</vt:lpstr>
      <vt:lpstr>Continuous (s,Q) (v2)</vt:lpstr>
      <vt:lpstr>Periodic (R,S) (v2)</vt:lpstr>
      <vt:lpstr>Triangle Distribution</vt:lpstr>
    </vt:vector>
  </TitlesOfParts>
  <Company>Kroger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Daniel A</dc:creator>
  <cp:lastModifiedBy>Rogers, Daniel A</cp:lastModifiedBy>
  <dcterms:created xsi:type="dcterms:W3CDTF">2014-11-17T02:46:48Z</dcterms:created>
  <dcterms:modified xsi:type="dcterms:W3CDTF">2016-04-24T20:03:01Z</dcterms:modified>
</cp:coreProperties>
</file>