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3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5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Gilbet Tongco\OneDrive\Documents\"/>
    </mc:Choice>
  </mc:AlternateContent>
  <bookViews>
    <workbookView xWindow="0" yWindow="0" windowWidth="28800" windowHeight="12435"/>
  </bookViews>
  <sheets>
    <sheet name="OVERALL" sheetId="61" r:id="rId1"/>
    <sheet name="Bright Sky" sheetId="66" r:id="rId2"/>
    <sheet name="BTE" sheetId="65" r:id="rId3"/>
    <sheet name="VESTALLE" sheetId="67" r:id="rId4"/>
    <sheet name="YTI" sheetId="68" r:id="rId5"/>
  </sheets>
  <externalReferences>
    <externalReference r:id="rId6"/>
  </externalReferences>
  <calcPr calcId="152511"/>
</workbook>
</file>

<file path=xl/calcChain.xml><?xml version="1.0" encoding="utf-8"?>
<calcChain xmlns="http://schemas.openxmlformats.org/spreadsheetml/2006/main">
  <c r="R69" i="61" l="1"/>
  <c r="R68" i="61"/>
  <c r="R67" i="61"/>
  <c r="R66" i="61"/>
  <c r="R65" i="61"/>
  <c r="R63" i="61"/>
  <c r="R62" i="61"/>
  <c r="R58" i="61"/>
  <c r="R57" i="61"/>
  <c r="R56" i="61"/>
  <c r="R55" i="61"/>
  <c r="R54" i="61"/>
  <c r="R53" i="61"/>
  <c r="R52" i="61"/>
  <c r="R50" i="61"/>
  <c r="R49" i="61"/>
  <c r="R45" i="61"/>
  <c r="R44" i="61"/>
  <c r="R43" i="61"/>
  <c r="R42" i="61"/>
  <c r="R41" i="61"/>
  <c r="R40" i="61"/>
  <c r="R39" i="61"/>
  <c r="R37" i="61"/>
  <c r="R36" i="61"/>
  <c r="R32" i="61"/>
  <c r="R31" i="61"/>
  <c r="R30" i="61"/>
  <c r="R29" i="61"/>
  <c r="R28" i="61"/>
  <c r="R27" i="61"/>
  <c r="R26" i="61"/>
  <c r="R24" i="61"/>
  <c r="R23" i="61"/>
  <c r="R19" i="61"/>
  <c r="R18" i="61"/>
  <c r="R17" i="61"/>
  <c r="R16" i="61"/>
  <c r="R15" i="61"/>
  <c r="R14" i="61"/>
  <c r="R13" i="61"/>
  <c r="R11" i="61"/>
  <c r="R10" i="61"/>
  <c r="R6" i="61"/>
  <c r="R5" i="61"/>
  <c r="R4" i="61"/>
  <c r="O34" i="65" l="1"/>
  <c r="O23" i="65"/>
  <c r="E12" i="68" l="1"/>
  <c r="F12" i="68"/>
  <c r="G12" i="68"/>
  <c r="H12" i="68"/>
  <c r="I12" i="68"/>
  <c r="J12" i="68"/>
  <c r="K12" i="68"/>
  <c r="L12" i="68"/>
  <c r="M12" i="68"/>
  <c r="N12" i="68"/>
  <c r="O12" i="68"/>
  <c r="D12" i="68"/>
  <c r="M12" i="67"/>
  <c r="N12" i="67"/>
  <c r="O12" i="67"/>
  <c r="E25" i="66"/>
  <c r="F25" i="66"/>
  <c r="G25" i="66"/>
  <c r="H25" i="66"/>
  <c r="I25" i="66"/>
  <c r="J25" i="66"/>
  <c r="K25" i="66"/>
  <c r="L25" i="66"/>
  <c r="M25" i="66"/>
  <c r="N25" i="66"/>
  <c r="O25" i="66"/>
  <c r="D25" i="66"/>
  <c r="E12" i="66"/>
  <c r="F12" i="66"/>
  <c r="G12" i="66"/>
  <c r="H12" i="66"/>
  <c r="I12" i="66"/>
  <c r="J12" i="66"/>
  <c r="K12" i="66"/>
  <c r="L12" i="66"/>
  <c r="M12" i="66"/>
  <c r="N12" i="66"/>
  <c r="O12" i="66"/>
  <c r="D12" i="66"/>
  <c r="M7" i="61"/>
  <c r="N7" i="61"/>
  <c r="O7" i="61"/>
  <c r="M8" i="61"/>
  <c r="N8" i="61"/>
  <c r="O8" i="61"/>
  <c r="D9" i="67"/>
  <c r="D46" i="61"/>
  <c r="D22" i="66" l="1"/>
  <c r="D9" i="66" l="1"/>
  <c r="F9" i="66"/>
  <c r="G9" i="66"/>
  <c r="H9" i="66"/>
  <c r="I9" i="66"/>
  <c r="J9" i="66"/>
  <c r="K9" i="66"/>
  <c r="L9" i="66"/>
  <c r="M9" i="66"/>
  <c r="M9" i="61" s="1"/>
  <c r="N9" i="66"/>
  <c r="N9" i="61" s="1"/>
  <c r="O9" i="66"/>
  <c r="O9" i="61" s="1"/>
  <c r="E9" i="66"/>
  <c r="F22" i="66" l="1"/>
  <c r="G22" i="66"/>
  <c r="H22" i="66"/>
  <c r="I22" i="66"/>
  <c r="J22" i="66"/>
  <c r="K22" i="66"/>
  <c r="L22" i="66"/>
  <c r="M22" i="66"/>
  <c r="N22" i="66"/>
  <c r="O22" i="66"/>
  <c r="E22" i="66"/>
  <c r="G9" i="68" l="1"/>
  <c r="H9" i="68"/>
  <c r="I9" i="68"/>
  <c r="J9" i="68"/>
  <c r="K9" i="68"/>
  <c r="L9" i="68"/>
  <c r="M9" i="68"/>
  <c r="N9" i="68"/>
  <c r="O9" i="68"/>
  <c r="F9" i="68"/>
  <c r="P8" i="68"/>
  <c r="P7" i="68"/>
  <c r="F9" i="67"/>
  <c r="G9" i="67"/>
  <c r="H9" i="67"/>
  <c r="I9" i="67"/>
  <c r="J9" i="67"/>
  <c r="K9" i="67"/>
  <c r="L9" i="67"/>
  <c r="M9" i="67"/>
  <c r="N9" i="67"/>
  <c r="O9" i="67"/>
  <c r="E9" i="67"/>
  <c r="P8" i="67"/>
  <c r="P7" i="67"/>
  <c r="P9" i="68" l="1"/>
  <c r="P9" i="67"/>
  <c r="P47" i="66"/>
  <c r="P46" i="66"/>
  <c r="M34" i="66"/>
  <c r="N34" i="66"/>
  <c r="O34" i="66"/>
  <c r="M33" i="66"/>
  <c r="N33" i="66"/>
  <c r="O33" i="66"/>
  <c r="M30" i="66"/>
  <c r="N30" i="66"/>
  <c r="O30" i="66"/>
  <c r="M58" i="61" l="1"/>
  <c r="N58" i="61"/>
  <c r="O58" i="61"/>
  <c r="M59" i="61"/>
  <c r="N59" i="61"/>
  <c r="O59" i="61"/>
  <c r="M60" i="61"/>
  <c r="N60" i="61"/>
  <c r="O60" i="61"/>
  <c r="M61" i="61"/>
  <c r="N61" i="61"/>
  <c r="O61" i="61"/>
  <c r="M62" i="61"/>
  <c r="N62" i="61"/>
  <c r="O62" i="61"/>
  <c r="M63" i="61"/>
  <c r="N63" i="61"/>
  <c r="O63" i="61"/>
  <c r="M65" i="61"/>
  <c r="N65" i="61"/>
  <c r="O65" i="61"/>
  <c r="M67" i="61"/>
  <c r="N67" i="61"/>
  <c r="O67" i="61"/>
  <c r="M45" i="61"/>
  <c r="N45" i="61"/>
  <c r="O45" i="61"/>
  <c r="M46" i="61"/>
  <c r="N46" i="61"/>
  <c r="O46" i="61"/>
  <c r="M47" i="61"/>
  <c r="N47" i="61"/>
  <c r="O47" i="61"/>
  <c r="M48" i="61"/>
  <c r="N48" i="61"/>
  <c r="O48" i="61"/>
  <c r="M49" i="61"/>
  <c r="N49" i="61"/>
  <c r="O49" i="61"/>
  <c r="M50" i="61"/>
  <c r="N50" i="61"/>
  <c r="O50" i="61"/>
  <c r="M52" i="61"/>
  <c r="N52" i="61"/>
  <c r="O52" i="61"/>
  <c r="M54" i="61"/>
  <c r="N54" i="61"/>
  <c r="O54" i="61"/>
  <c r="M33" i="61"/>
  <c r="N33" i="61"/>
  <c r="O33" i="61"/>
  <c r="M34" i="61"/>
  <c r="N34" i="61"/>
  <c r="O34" i="61"/>
  <c r="M19" i="61"/>
  <c r="N19" i="61"/>
  <c r="O19" i="61"/>
  <c r="M20" i="61"/>
  <c r="N20" i="61"/>
  <c r="O20" i="61"/>
  <c r="M21" i="61"/>
  <c r="N21" i="61"/>
  <c r="O21" i="61"/>
  <c r="M22" i="61"/>
  <c r="N22" i="61"/>
  <c r="O22" i="61"/>
  <c r="M23" i="61"/>
  <c r="N23" i="61"/>
  <c r="O23" i="61"/>
  <c r="M24" i="61"/>
  <c r="N24" i="61"/>
  <c r="O24" i="61"/>
  <c r="M26" i="61"/>
  <c r="N26" i="61"/>
  <c r="O26" i="61"/>
  <c r="M28" i="61"/>
  <c r="N28" i="61"/>
  <c r="O28" i="61"/>
  <c r="M30" i="61"/>
  <c r="N30" i="61"/>
  <c r="O30" i="61"/>
  <c r="M15" i="61"/>
  <c r="N15" i="61"/>
  <c r="O15" i="61"/>
  <c r="M13" i="61"/>
  <c r="N13" i="61"/>
  <c r="O13" i="61"/>
  <c r="O12" i="61"/>
  <c r="M11" i="61"/>
  <c r="N11" i="61"/>
  <c r="O11" i="61"/>
  <c r="M10" i="61"/>
  <c r="N10" i="61"/>
  <c r="O10" i="61"/>
  <c r="M6" i="61"/>
  <c r="N6" i="61"/>
  <c r="O6" i="61"/>
  <c r="M29" i="66"/>
  <c r="M29" i="61" s="1"/>
  <c r="N29" i="66"/>
  <c r="N29" i="61" s="1"/>
  <c r="O29" i="66"/>
  <c r="O29" i="61" s="1"/>
  <c r="M12" i="61"/>
  <c r="N12" i="61"/>
  <c r="O36" i="66"/>
  <c r="O36" i="61" s="1"/>
  <c r="M80" i="61" l="1"/>
  <c r="O75" i="61"/>
  <c r="N80" i="61"/>
  <c r="N82" i="61" s="1"/>
  <c r="M78" i="61"/>
  <c r="M71" i="61"/>
  <c r="O76" i="61"/>
  <c r="O77" i="61" s="1"/>
  <c r="N76" i="61"/>
  <c r="N77" i="61" s="1"/>
  <c r="M75" i="61"/>
  <c r="O80" i="61"/>
  <c r="O82" i="61" s="1"/>
  <c r="N75" i="61"/>
  <c r="O71" i="61"/>
  <c r="O78" i="61"/>
  <c r="M76" i="61"/>
  <c r="M77" i="61" s="1"/>
  <c r="N71" i="61"/>
  <c r="N79" i="61" s="1"/>
  <c r="N78" i="61"/>
  <c r="O48" i="66"/>
  <c r="O50" i="66" s="1"/>
  <c r="N48" i="66"/>
  <c r="N50" i="66" s="1"/>
  <c r="M48" i="66"/>
  <c r="M50" i="66" s="1"/>
  <c r="M81" i="61" l="1"/>
  <c r="M82" i="61"/>
  <c r="M70" i="61"/>
  <c r="O70" i="61"/>
  <c r="O81" i="61"/>
  <c r="N70" i="61"/>
  <c r="M79" i="61"/>
  <c r="N81" i="61"/>
  <c r="O79" i="61"/>
  <c r="O14" i="68" l="1"/>
  <c r="O66" i="61" s="1"/>
  <c r="N14" i="68"/>
  <c r="N66" i="61" s="1"/>
  <c r="M14" i="68"/>
  <c r="M66" i="61" s="1"/>
  <c r="L14" i="68"/>
  <c r="K14" i="68"/>
  <c r="O17" i="68"/>
  <c r="O69" i="61" s="1"/>
  <c r="P4" i="68"/>
  <c r="O13" i="65" l="1"/>
  <c r="O21" i="67"/>
  <c r="O23" i="67" s="1"/>
  <c r="N17" i="68" l="1"/>
  <c r="N69" i="61" s="1"/>
  <c r="O5" i="68"/>
  <c r="O57" i="61" s="1"/>
  <c r="O64" i="61"/>
  <c r="O16" i="68"/>
  <c r="O68" i="61" s="1"/>
  <c r="N5" i="68" l="1"/>
  <c r="N57" i="61" s="1"/>
  <c r="M41" i="66" l="1"/>
  <c r="N41" i="66"/>
  <c r="O41" i="66"/>
  <c r="M39" i="66"/>
  <c r="M39" i="61" s="1"/>
  <c r="N39" i="66"/>
  <c r="N39" i="61" s="1"/>
  <c r="O39" i="66"/>
  <c r="O39" i="61" s="1"/>
  <c r="M37" i="66"/>
  <c r="N37" i="66"/>
  <c r="O37" i="66"/>
  <c r="M36" i="66"/>
  <c r="M36" i="61" s="1"/>
  <c r="N36" i="66"/>
  <c r="N36" i="61" s="1"/>
  <c r="M32" i="66"/>
  <c r="N32" i="66"/>
  <c r="O32" i="66"/>
  <c r="L29" i="66"/>
  <c r="O17" i="66"/>
  <c r="O17" i="61" s="1"/>
  <c r="N17" i="66"/>
  <c r="N17" i="61" s="1"/>
  <c r="M17" i="66"/>
  <c r="M17" i="61" s="1"/>
  <c r="N64" i="61"/>
  <c r="N16" i="68"/>
  <c r="N68" i="61" s="1"/>
  <c r="M37" i="61" l="1"/>
  <c r="M38" i="66"/>
  <c r="M38" i="61" s="1"/>
  <c r="O32" i="61"/>
  <c r="O35" i="61" s="1"/>
  <c r="O35" i="66"/>
  <c r="N32" i="61"/>
  <c r="N35" i="61" s="1"/>
  <c r="N35" i="66"/>
  <c r="O37" i="61"/>
  <c r="O38" i="66"/>
  <c r="O38" i="61" s="1"/>
  <c r="M32" i="61"/>
  <c r="M35" i="61" s="1"/>
  <c r="M35" i="66"/>
  <c r="N37" i="61"/>
  <c r="N38" i="66"/>
  <c r="N38" i="61" s="1"/>
  <c r="M41" i="61"/>
  <c r="M42" i="66"/>
  <c r="M42" i="61" s="1"/>
  <c r="M43" i="66"/>
  <c r="M43" i="61" s="1"/>
  <c r="O41" i="61"/>
  <c r="O43" i="66"/>
  <c r="O43" i="61" s="1"/>
  <c r="O42" i="66"/>
  <c r="O42" i="61" s="1"/>
  <c r="N41" i="61"/>
  <c r="N42" i="66"/>
  <c r="N42" i="61" s="1"/>
  <c r="N43" i="66"/>
  <c r="N43" i="61" s="1"/>
  <c r="M31" i="66"/>
  <c r="M31" i="61" s="1"/>
  <c r="M40" i="66"/>
  <c r="M40" i="61" s="1"/>
  <c r="N31" i="66"/>
  <c r="N31" i="61" s="1"/>
  <c r="O31" i="66"/>
  <c r="O31" i="61" s="1"/>
  <c r="N40" i="66"/>
  <c r="N40" i="61" s="1"/>
  <c r="O40" i="66"/>
  <c r="O40" i="61" s="1"/>
  <c r="M17" i="68"/>
  <c r="M69" i="61" s="1"/>
  <c r="M16" i="68"/>
  <c r="M68" i="61" s="1"/>
  <c r="M64" i="61"/>
  <c r="M23" i="67"/>
  <c r="N21" i="67"/>
  <c r="N23" i="67" s="1"/>
  <c r="M5" i="68"/>
  <c r="M57" i="61" s="1"/>
  <c r="O17" i="67" l="1"/>
  <c r="O56" i="61" s="1"/>
  <c r="M17" i="67" l="1"/>
  <c r="M56" i="61" s="1"/>
  <c r="N17" i="67"/>
  <c r="N56" i="61" s="1"/>
  <c r="N38" i="65" l="1"/>
  <c r="N31" i="65"/>
  <c r="N32" i="65" s="1"/>
  <c r="N29" i="65"/>
  <c r="N28" i="65"/>
  <c r="M38" i="65"/>
  <c r="M31" i="65"/>
  <c r="M32" i="65" s="1"/>
  <c r="M29" i="65"/>
  <c r="M28" i="65"/>
  <c r="L38" i="65"/>
  <c r="L31" i="65"/>
  <c r="L32" i="65" s="1"/>
  <c r="L29" i="65"/>
  <c r="L28" i="65"/>
  <c r="N27" i="65"/>
  <c r="N20" i="65"/>
  <c r="N21" i="65" s="1"/>
  <c r="N18" i="65"/>
  <c r="N17" i="65"/>
  <c r="M27" i="65"/>
  <c r="M20" i="65"/>
  <c r="M21" i="65" s="1"/>
  <c r="M18" i="65"/>
  <c r="M17" i="65"/>
  <c r="L20" i="65"/>
  <c r="L21" i="65" s="1"/>
  <c r="L18" i="65"/>
  <c r="L17" i="65"/>
  <c r="L27" i="65"/>
  <c r="K20" i="65"/>
  <c r="K21" i="65" s="1"/>
  <c r="N16" i="65"/>
  <c r="N9" i="65"/>
  <c r="N10" i="65" s="1"/>
  <c r="N7" i="65"/>
  <c r="N6" i="65"/>
  <c r="O12" i="65"/>
  <c r="M16" i="65"/>
  <c r="M9" i="65"/>
  <c r="M10" i="65" s="1"/>
  <c r="M7" i="65"/>
  <c r="M6" i="65"/>
  <c r="L16" i="65"/>
  <c r="L9" i="65"/>
  <c r="L10" i="65" s="1"/>
  <c r="L7" i="65"/>
  <c r="L6" i="65"/>
  <c r="L30" i="66" l="1"/>
  <c r="O25" i="61"/>
  <c r="N25" i="61"/>
  <c r="M25" i="61"/>
  <c r="O14" i="67"/>
  <c r="O53" i="61" s="1"/>
  <c r="O16" i="67"/>
  <c r="O55" i="61" s="1"/>
  <c r="N16" i="67"/>
  <c r="N55" i="61" s="1"/>
  <c r="M16" i="67"/>
  <c r="M55" i="61" s="1"/>
  <c r="O51" i="61"/>
  <c r="N51" i="61"/>
  <c r="M51" i="61"/>
  <c r="O5" i="67"/>
  <c r="O44" i="61" s="1"/>
  <c r="N5" i="67" l="1"/>
  <c r="N44" i="61" s="1"/>
  <c r="M16" i="66" l="1"/>
  <c r="M16" i="61" s="1"/>
  <c r="L17" i="66"/>
  <c r="N14" i="67" l="1"/>
  <c r="N53" i="61" s="1"/>
  <c r="M14" i="67"/>
  <c r="M53" i="61" s="1"/>
  <c r="M5" i="67"/>
  <c r="M44" i="61" s="1"/>
  <c r="O27" i="66" l="1"/>
  <c r="O27" i="61" s="1"/>
  <c r="O18" i="66"/>
  <c r="O18" i="61" s="1"/>
  <c r="N27" i="66"/>
  <c r="N27" i="61" s="1"/>
  <c r="M27" i="66"/>
  <c r="M27" i="61" s="1"/>
  <c r="L27" i="66"/>
  <c r="N18" i="66"/>
  <c r="N18" i="61" s="1"/>
  <c r="M18" i="66"/>
  <c r="M18" i="61" s="1"/>
  <c r="O16" i="66"/>
  <c r="O16" i="61" s="1"/>
  <c r="O14" i="66"/>
  <c r="O14" i="61" s="1"/>
  <c r="O5" i="66"/>
  <c r="O5" i="61" s="1"/>
  <c r="N16" i="66"/>
  <c r="N16" i="61" s="1"/>
  <c r="N14" i="66"/>
  <c r="N14" i="61" s="1"/>
  <c r="N5" i="66"/>
  <c r="N5" i="61" s="1"/>
  <c r="M14" i="66"/>
  <c r="M14" i="61" s="1"/>
  <c r="M5" i="66"/>
  <c r="M5" i="61" s="1"/>
  <c r="P15" i="68" l="1"/>
  <c r="P13" i="68"/>
  <c r="P11" i="68"/>
  <c r="P12" i="68" s="1"/>
  <c r="P64" i="61" s="1"/>
  <c r="P10" i="68"/>
  <c r="P6" i="68"/>
  <c r="O37" i="65"/>
  <c r="O36" i="65"/>
  <c r="O35" i="65"/>
  <c r="O33" i="65"/>
  <c r="O30" i="65"/>
  <c r="O26" i="65"/>
  <c r="O25" i="65"/>
  <c r="O24" i="65"/>
  <c r="O22" i="65"/>
  <c r="O19" i="65"/>
  <c r="P14" i="68" l="1"/>
  <c r="P5" i="68"/>
  <c r="O28" i="65"/>
  <c r="O38" i="65"/>
  <c r="P16" i="68"/>
  <c r="O29" i="65"/>
  <c r="O27" i="65"/>
  <c r="O18" i="65"/>
  <c r="O17" i="65"/>
  <c r="P74" i="61"/>
  <c r="P73" i="61"/>
  <c r="P72" i="61"/>
  <c r="E98" i="61"/>
  <c r="F98" i="61"/>
  <c r="G98" i="61"/>
  <c r="H98" i="61"/>
  <c r="I98" i="61"/>
  <c r="J98" i="61"/>
  <c r="K98" i="61"/>
  <c r="L98" i="61"/>
  <c r="D98" i="61"/>
  <c r="J90" i="61"/>
  <c r="K90" i="61"/>
  <c r="L90" i="61"/>
  <c r="M90" i="61"/>
  <c r="N90" i="61"/>
  <c r="O90" i="61"/>
  <c r="J91" i="61"/>
  <c r="K91" i="61"/>
  <c r="L91" i="61"/>
  <c r="M91" i="61"/>
  <c r="N91" i="61"/>
  <c r="N101" i="61" s="1"/>
  <c r="O91" i="61"/>
  <c r="M92" i="61"/>
  <c r="N92" i="61"/>
  <c r="O92" i="61"/>
  <c r="Q87" i="61"/>
  <c r="E83" i="61"/>
  <c r="F83" i="61"/>
  <c r="G83" i="61"/>
  <c r="H83" i="61"/>
  <c r="I83" i="61"/>
  <c r="J83" i="61"/>
  <c r="K83" i="61"/>
  <c r="L83" i="61"/>
  <c r="M83" i="61"/>
  <c r="N83" i="61"/>
  <c r="O83" i="61"/>
  <c r="O87" i="61" s="1"/>
  <c r="E84" i="61"/>
  <c r="F84" i="61"/>
  <c r="G84" i="61"/>
  <c r="H84" i="61"/>
  <c r="I84" i="61"/>
  <c r="J84" i="61"/>
  <c r="K84" i="61"/>
  <c r="L84" i="61"/>
  <c r="M84" i="61"/>
  <c r="N84" i="61"/>
  <c r="O84" i="61"/>
  <c r="M85" i="61"/>
  <c r="N85" i="61"/>
  <c r="O85" i="61"/>
  <c r="D84" i="61"/>
  <c r="D83" i="61"/>
  <c r="E90" i="61"/>
  <c r="F90" i="61"/>
  <c r="G90" i="61"/>
  <c r="H90" i="61"/>
  <c r="I90" i="61"/>
  <c r="E91" i="61"/>
  <c r="F91" i="61"/>
  <c r="G91" i="61"/>
  <c r="H91" i="61"/>
  <c r="I91" i="61"/>
  <c r="D91" i="61"/>
  <c r="D90" i="61"/>
  <c r="D58" i="61"/>
  <c r="E58" i="61"/>
  <c r="F58" i="61"/>
  <c r="G58" i="61"/>
  <c r="H58" i="61"/>
  <c r="I58" i="61"/>
  <c r="J58" i="61"/>
  <c r="K58" i="61"/>
  <c r="L58" i="61"/>
  <c r="D59" i="61"/>
  <c r="E59" i="61"/>
  <c r="F59" i="61"/>
  <c r="G59" i="61"/>
  <c r="H59" i="61"/>
  <c r="I59" i="61"/>
  <c r="J59" i="61"/>
  <c r="K59" i="61"/>
  <c r="L59" i="61"/>
  <c r="D60" i="61"/>
  <c r="E60" i="61"/>
  <c r="F60" i="61"/>
  <c r="G60" i="61"/>
  <c r="H60" i="61"/>
  <c r="I60" i="61"/>
  <c r="J60" i="61"/>
  <c r="K60" i="61"/>
  <c r="L60" i="61"/>
  <c r="D61" i="61"/>
  <c r="E61" i="61"/>
  <c r="F61" i="61"/>
  <c r="G61" i="61"/>
  <c r="H61" i="61"/>
  <c r="I61" i="61"/>
  <c r="J61" i="61"/>
  <c r="K61" i="61"/>
  <c r="L61" i="61"/>
  <c r="D62" i="61"/>
  <c r="E62" i="61"/>
  <c r="F62" i="61"/>
  <c r="G62" i="61"/>
  <c r="H62" i="61"/>
  <c r="I62" i="61"/>
  <c r="J62" i="61"/>
  <c r="K62" i="61"/>
  <c r="L62" i="61"/>
  <c r="D63" i="61"/>
  <c r="E63" i="61"/>
  <c r="F63" i="61"/>
  <c r="G63" i="61"/>
  <c r="H63" i="61"/>
  <c r="I63" i="61"/>
  <c r="J63" i="61"/>
  <c r="K63" i="61"/>
  <c r="L63" i="61"/>
  <c r="D65" i="61"/>
  <c r="E65" i="61"/>
  <c r="F65" i="61"/>
  <c r="G65" i="61"/>
  <c r="H65" i="61"/>
  <c r="I65" i="61"/>
  <c r="J65" i="61"/>
  <c r="K65" i="61"/>
  <c r="L65" i="61"/>
  <c r="K66" i="61"/>
  <c r="L66" i="61"/>
  <c r="D67" i="61"/>
  <c r="E67" i="61"/>
  <c r="F67" i="61"/>
  <c r="G67" i="61"/>
  <c r="H67" i="61"/>
  <c r="I67" i="61"/>
  <c r="J67" i="61"/>
  <c r="K67" i="61"/>
  <c r="L67" i="61"/>
  <c r="K45" i="61"/>
  <c r="L45" i="61"/>
  <c r="K46" i="61"/>
  <c r="L46" i="61"/>
  <c r="K47" i="61"/>
  <c r="L47" i="61"/>
  <c r="K48" i="61"/>
  <c r="L48" i="61"/>
  <c r="K49" i="61"/>
  <c r="L49" i="61"/>
  <c r="K52" i="61"/>
  <c r="L52" i="61"/>
  <c r="K54" i="61"/>
  <c r="L54" i="61"/>
  <c r="E45" i="61"/>
  <c r="F45" i="61"/>
  <c r="G45" i="61"/>
  <c r="H45" i="61"/>
  <c r="I45" i="61"/>
  <c r="J45" i="61"/>
  <c r="E46" i="61"/>
  <c r="F46" i="61"/>
  <c r="G46" i="61"/>
  <c r="H46" i="61"/>
  <c r="I46" i="61"/>
  <c r="J46" i="61"/>
  <c r="E47" i="61"/>
  <c r="F47" i="61"/>
  <c r="G47" i="61"/>
  <c r="H47" i="61"/>
  <c r="I47" i="61"/>
  <c r="J47" i="61"/>
  <c r="E48" i="61"/>
  <c r="F48" i="61"/>
  <c r="G48" i="61"/>
  <c r="H48" i="61"/>
  <c r="I48" i="61"/>
  <c r="J48" i="61"/>
  <c r="E49" i="61"/>
  <c r="F49" i="61"/>
  <c r="G49" i="61"/>
  <c r="H49" i="61"/>
  <c r="I49" i="61"/>
  <c r="J49" i="61"/>
  <c r="E52" i="61"/>
  <c r="F52" i="61"/>
  <c r="G52" i="61"/>
  <c r="H52" i="61"/>
  <c r="I52" i="61"/>
  <c r="J52" i="61"/>
  <c r="E54" i="61"/>
  <c r="F54" i="61"/>
  <c r="G54" i="61"/>
  <c r="H54" i="61"/>
  <c r="I54" i="61"/>
  <c r="J54" i="61"/>
  <c r="D45" i="61"/>
  <c r="D48" i="61"/>
  <c r="D49" i="61"/>
  <c r="D52" i="61"/>
  <c r="D54" i="61"/>
  <c r="E3" i="61"/>
  <c r="F3" i="61"/>
  <c r="G3" i="61"/>
  <c r="H3" i="61"/>
  <c r="I3" i="61"/>
  <c r="J3" i="61"/>
  <c r="K3" i="61"/>
  <c r="L3" i="61"/>
  <c r="E4" i="61"/>
  <c r="F4" i="61"/>
  <c r="G4" i="61"/>
  <c r="H4" i="61"/>
  <c r="I4" i="61"/>
  <c r="J4" i="61"/>
  <c r="K4" i="61"/>
  <c r="L4" i="61"/>
  <c r="E6" i="61"/>
  <c r="F6" i="61"/>
  <c r="G6" i="61"/>
  <c r="H6" i="61"/>
  <c r="I6" i="61"/>
  <c r="J6" i="61"/>
  <c r="K6" i="61"/>
  <c r="L6" i="61"/>
  <c r="E7" i="61"/>
  <c r="F7" i="61"/>
  <c r="G7" i="61"/>
  <c r="H7" i="61"/>
  <c r="I7" i="61"/>
  <c r="J7" i="61"/>
  <c r="K7" i="61"/>
  <c r="L7" i="61"/>
  <c r="E8" i="61"/>
  <c r="F8" i="61"/>
  <c r="G8" i="61"/>
  <c r="H8" i="61"/>
  <c r="I8" i="61"/>
  <c r="J8" i="61"/>
  <c r="K8" i="61"/>
  <c r="L8" i="61"/>
  <c r="E9" i="61"/>
  <c r="F9" i="61"/>
  <c r="G9" i="61"/>
  <c r="H9" i="61"/>
  <c r="I9" i="61"/>
  <c r="J9" i="61"/>
  <c r="K9" i="61"/>
  <c r="L9" i="61"/>
  <c r="E10" i="61"/>
  <c r="F10" i="61"/>
  <c r="G10" i="61"/>
  <c r="H10" i="61"/>
  <c r="I10" i="61"/>
  <c r="J10" i="61"/>
  <c r="K10" i="61"/>
  <c r="L10" i="61"/>
  <c r="E11" i="61"/>
  <c r="F11" i="61"/>
  <c r="G11" i="61"/>
  <c r="H11" i="61"/>
  <c r="I11" i="61"/>
  <c r="J11" i="61"/>
  <c r="K11" i="61"/>
  <c r="L11" i="61"/>
  <c r="K12" i="61"/>
  <c r="L12" i="61"/>
  <c r="E13" i="61"/>
  <c r="F13" i="61"/>
  <c r="G13" i="61"/>
  <c r="H13" i="61"/>
  <c r="I13" i="61"/>
  <c r="J13" i="61"/>
  <c r="K13" i="61"/>
  <c r="L13" i="61"/>
  <c r="E15" i="61"/>
  <c r="F15" i="61"/>
  <c r="G15" i="61"/>
  <c r="H15" i="61"/>
  <c r="I15" i="61"/>
  <c r="J15" i="61"/>
  <c r="K15" i="61"/>
  <c r="L15" i="61"/>
  <c r="E19" i="61"/>
  <c r="F19" i="61"/>
  <c r="G19" i="61"/>
  <c r="H19" i="61"/>
  <c r="I19" i="61"/>
  <c r="J19" i="61"/>
  <c r="K19" i="61"/>
  <c r="L19" i="61"/>
  <c r="E20" i="61"/>
  <c r="F20" i="61"/>
  <c r="G20" i="61"/>
  <c r="H20" i="61"/>
  <c r="I20" i="61"/>
  <c r="J20" i="61"/>
  <c r="K20" i="61"/>
  <c r="L20" i="61"/>
  <c r="E21" i="61"/>
  <c r="F21" i="61"/>
  <c r="G21" i="61"/>
  <c r="H21" i="61"/>
  <c r="I21" i="61"/>
  <c r="J21" i="61"/>
  <c r="K21" i="61"/>
  <c r="L21" i="61"/>
  <c r="E22" i="61"/>
  <c r="F22" i="61"/>
  <c r="G22" i="61"/>
  <c r="H22" i="61"/>
  <c r="I22" i="61"/>
  <c r="J22" i="61"/>
  <c r="K22" i="61"/>
  <c r="L22" i="61"/>
  <c r="E23" i="61"/>
  <c r="F23" i="61"/>
  <c r="G23" i="61"/>
  <c r="H23" i="61"/>
  <c r="I23" i="61"/>
  <c r="J23" i="61"/>
  <c r="K23" i="61"/>
  <c r="L23" i="61"/>
  <c r="E24" i="61"/>
  <c r="F24" i="61"/>
  <c r="G24" i="61"/>
  <c r="H24" i="61"/>
  <c r="I24" i="61"/>
  <c r="J24" i="61"/>
  <c r="K24" i="61"/>
  <c r="L24" i="61"/>
  <c r="K25" i="61"/>
  <c r="L25" i="61"/>
  <c r="E26" i="61"/>
  <c r="F26" i="61"/>
  <c r="G26" i="61"/>
  <c r="H26" i="61"/>
  <c r="I26" i="61"/>
  <c r="J26" i="61"/>
  <c r="K26" i="61"/>
  <c r="L26" i="61"/>
  <c r="L27" i="61"/>
  <c r="E28" i="61"/>
  <c r="F28" i="61"/>
  <c r="G28" i="61"/>
  <c r="H28" i="61"/>
  <c r="I28" i="61"/>
  <c r="J28" i="61"/>
  <c r="K28" i="61"/>
  <c r="L28" i="61"/>
  <c r="D4" i="61"/>
  <c r="D6" i="61"/>
  <c r="D7" i="61"/>
  <c r="D9" i="61"/>
  <c r="D10" i="61"/>
  <c r="D11" i="61"/>
  <c r="D13" i="61"/>
  <c r="D15" i="61"/>
  <c r="D19" i="61"/>
  <c r="D20" i="61"/>
  <c r="D22" i="61"/>
  <c r="D23" i="61"/>
  <c r="D24" i="61"/>
  <c r="D26" i="61"/>
  <c r="D28" i="61"/>
  <c r="M3" i="61"/>
  <c r="N3" i="61"/>
  <c r="O3" i="61"/>
  <c r="D3" i="61"/>
  <c r="P24" i="66"/>
  <c r="P25" i="66" s="1"/>
  <c r="P11" i="66"/>
  <c r="P12" i="66" s="1"/>
  <c r="K14" i="67"/>
  <c r="K53" i="61" s="1"/>
  <c r="L14" i="67"/>
  <c r="L53" i="61" s="1"/>
  <c r="K21" i="67"/>
  <c r="K85" i="61" s="1"/>
  <c r="L21" i="67"/>
  <c r="L85" i="61" s="1"/>
  <c r="P20" i="67"/>
  <c r="P84" i="61" s="1"/>
  <c r="P19" i="67"/>
  <c r="P83" i="61" s="1"/>
  <c r="P15" i="67"/>
  <c r="P13" i="67"/>
  <c r="P10" i="67"/>
  <c r="P6" i="67"/>
  <c r="P4" i="67"/>
  <c r="P4" i="66"/>
  <c r="P4" i="61" s="1"/>
  <c r="O5" i="65"/>
  <c r="O31" i="65" s="1"/>
  <c r="O32" i="65" s="1"/>
  <c r="O15" i="65"/>
  <c r="O14" i="65"/>
  <c r="O11" i="65"/>
  <c r="O8" i="65"/>
  <c r="P28" i="66"/>
  <c r="P26" i="66"/>
  <c r="P23" i="66"/>
  <c r="P22" i="66"/>
  <c r="P21" i="66"/>
  <c r="P20" i="66"/>
  <c r="P19" i="66"/>
  <c r="P15" i="66"/>
  <c r="P13" i="66"/>
  <c r="P10" i="66"/>
  <c r="P6" i="66"/>
  <c r="L32" i="66"/>
  <c r="L33" i="66"/>
  <c r="L33" i="61" s="1"/>
  <c r="L34" i="66"/>
  <c r="L34" i="61" s="1"/>
  <c r="L36" i="66"/>
  <c r="L36" i="61" s="1"/>
  <c r="L37" i="66"/>
  <c r="L39" i="66"/>
  <c r="L39" i="61" s="1"/>
  <c r="L41" i="66"/>
  <c r="L18" i="66"/>
  <c r="L18" i="61" s="1"/>
  <c r="L5" i="66"/>
  <c r="L5" i="61" s="1"/>
  <c r="L29" i="61"/>
  <c r="L30" i="61"/>
  <c r="L16" i="66"/>
  <c r="L16" i="61" s="1"/>
  <c r="L17" i="61"/>
  <c r="L14" i="66"/>
  <c r="L14" i="61" s="1"/>
  <c r="K27" i="66"/>
  <c r="K27" i="61" s="1"/>
  <c r="K14" i="66"/>
  <c r="K14" i="61" s="1"/>
  <c r="N87" i="61" l="1"/>
  <c r="M101" i="61"/>
  <c r="L37" i="61"/>
  <c r="L38" i="66"/>
  <c r="L38" i="61" s="1"/>
  <c r="L32" i="61"/>
  <c r="L35" i="61" s="1"/>
  <c r="L35" i="66"/>
  <c r="L43" i="66"/>
  <c r="L43" i="61" s="1"/>
  <c r="L42" i="66"/>
  <c r="L42" i="61" s="1"/>
  <c r="M87" i="61"/>
  <c r="O101" i="61"/>
  <c r="L41" i="61"/>
  <c r="M96" i="61"/>
  <c r="M100" i="61"/>
  <c r="N100" i="61"/>
  <c r="N96" i="61"/>
  <c r="O96" i="61"/>
  <c r="O100" i="61"/>
  <c r="P30" i="66"/>
  <c r="O20" i="65"/>
  <c r="O21" i="65" s="1"/>
  <c r="J101" i="61"/>
  <c r="F101" i="61"/>
  <c r="J100" i="61"/>
  <c r="P48" i="61"/>
  <c r="P47" i="61"/>
  <c r="I101" i="61"/>
  <c r="E101" i="61"/>
  <c r="K101" i="61"/>
  <c r="G101" i="61"/>
  <c r="L101" i="61"/>
  <c r="H101" i="61"/>
  <c r="P59" i="61"/>
  <c r="P58" i="61"/>
  <c r="F100" i="61"/>
  <c r="F102" i="61" s="1"/>
  <c r="P67" i="61"/>
  <c r="P69" i="61" s="1"/>
  <c r="P62" i="61"/>
  <c r="P63" i="61"/>
  <c r="P61" i="61"/>
  <c r="I100" i="61"/>
  <c r="E100" i="61"/>
  <c r="P60" i="61"/>
  <c r="P65" i="61"/>
  <c r="L23" i="67"/>
  <c r="L87" i="61"/>
  <c r="P54" i="61"/>
  <c r="P56" i="61" s="1"/>
  <c r="P52" i="61"/>
  <c r="P45" i="61"/>
  <c r="K23" i="67"/>
  <c r="H100" i="61"/>
  <c r="L100" i="61"/>
  <c r="G100" i="61"/>
  <c r="K100" i="61"/>
  <c r="K102" i="61" s="1"/>
  <c r="P49" i="61"/>
  <c r="P22" i="61"/>
  <c r="L40" i="66"/>
  <c r="L40" i="61" s="1"/>
  <c r="P8" i="61"/>
  <c r="P26" i="61"/>
  <c r="P11" i="61"/>
  <c r="P7" i="61"/>
  <c r="P28" i="61"/>
  <c r="P30" i="61" s="1"/>
  <c r="P18" i="66"/>
  <c r="P27" i="66"/>
  <c r="P23" i="61"/>
  <c r="P19" i="61"/>
  <c r="P15" i="61"/>
  <c r="P17" i="61" s="1"/>
  <c r="L31" i="66"/>
  <c r="L31" i="61" s="1"/>
  <c r="P21" i="61"/>
  <c r="P13" i="61"/>
  <c r="P9" i="61"/>
  <c r="P24" i="61"/>
  <c r="P20" i="61"/>
  <c r="P10" i="61"/>
  <c r="P6" i="61"/>
  <c r="D100" i="61"/>
  <c r="P46" i="61"/>
  <c r="K87" i="61"/>
  <c r="K78" i="61"/>
  <c r="L80" i="61"/>
  <c r="L82" i="61" s="1"/>
  <c r="L75" i="61"/>
  <c r="L71" i="61"/>
  <c r="K80" i="61"/>
  <c r="K82" i="61" s="1"/>
  <c r="K75" i="61"/>
  <c r="K71" i="61"/>
  <c r="L78" i="61"/>
  <c r="P29" i="66"/>
  <c r="L48" i="66"/>
  <c r="K48" i="66"/>
  <c r="M102" i="61" l="1"/>
  <c r="M104" i="61" s="1"/>
  <c r="P44" i="61"/>
  <c r="N102" i="61"/>
  <c r="N104" i="61" s="1"/>
  <c r="O102" i="61"/>
  <c r="O104" i="61" s="1"/>
  <c r="J102" i="61"/>
  <c r="I102" i="61"/>
  <c r="E102" i="61"/>
  <c r="G102" i="61"/>
  <c r="P53" i="61"/>
  <c r="H102" i="61"/>
  <c r="P55" i="61"/>
  <c r="P66" i="61"/>
  <c r="P29" i="61"/>
  <c r="P57" i="61"/>
  <c r="P68" i="61"/>
  <c r="L102" i="61"/>
  <c r="L104" i="61" s="1"/>
  <c r="K104" i="61"/>
  <c r="P14" i="61"/>
  <c r="P27" i="61"/>
  <c r="P16" i="61"/>
  <c r="P18" i="61"/>
  <c r="K50" i="66"/>
  <c r="K92" i="61"/>
  <c r="K96" i="61" s="1"/>
  <c r="P5" i="61"/>
  <c r="L92" i="61"/>
  <c r="L96" i="61" s="1"/>
  <c r="L50" i="66"/>
  <c r="K79" i="61"/>
  <c r="L79" i="61"/>
  <c r="L81" i="61"/>
  <c r="K70" i="61"/>
  <c r="K81" i="61"/>
  <c r="L70" i="61"/>
  <c r="P90" i="61" l="1"/>
  <c r="P100" i="61" s="1"/>
  <c r="P91" i="61"/>
  <c r="K32" i="66" l="1"/>
  <c r="K33" i="66"/>
  <c r="K33" i="61" s="1"/>
  <c r="K34" i="66"/>
  <c r="K34" i="61" s="1"/>
  <c r="K36" i="66"/>
  <c r="K37" i="66"/>
  <c r="K38" i="66" s="1"/>
  <c r="K39" i="66"/>
  <c r="K39" i="61" s="1"/>
  <c r="K41" i="66"/>
  <c r="J29" i="66"/>
  <c r="J29" i="61" s="1"/>
  <c r="K29" i="66"/>
  <c r="K29" i="61" s="1"/>
  <c r="J30" i="66"/>
  <c r="J30" i="61" s="1"/>
  <c r="K30" i="66"/>
  <c r="K30" i="61" s="1"/>
  <c r="J16" i="66"/>
  <c r="J16" i="61" s="1"/>
  <c r="K16" i="66"/>
  <c r="K16" i="61" s="1"/>
  <c r="J17" i="66"/>
  <c r="J17" i="61" s="1"/>
  <c r="K17" i="66"/>
  <c r="K17" i="61" s="1"/>
  <c r="J17" i="68"/>
  <c r="J69" i="61" s="1"/>
  <c r="K17" i="68"/>
  <c r="K69" i="61" s="1"/>
  <c r="L17" i="68"/>
  <c r="L69" i="61" s="1"/>
  <c r="K16" i="68"/>
  <c r="K68" i="61" s="1"/>
  <c r="L16" i="68"/>
  <c r="L68" i="61" s="1"/>
  <c r="K16" i="67"/>
  <c r="K55" i="61" s="1"/>
  <c r="L16" i="67"/>
  <c r="L55" i="61" s="1"/>
  <c r="K17" i="67"/>
  <c r="K56" i="61" s="1"/>
  <c r="L17" i="67"/>
  <c r="L56" i="61" s="1"/>
  <c r="K18" i="66"/>
  <c r="K18" i="61" s="1"/>
  <c r="K5" i="66"/>
  <c r="K5" i="61" s="1"/>
  <c r="E64" i="61"/>
  <c r="F64" i="61"/>
  <c r="G64" i="61"/>
  <c r="H64" i="61"/>
  <c r="I64" i="61"/>
  <c r="J64" i="61"/>
  <c r="K64" i="61"/>
  <c r="L64" i="61"/>
  <c r="D64" i="61"/>
  <c r="I5" i="67"/>
  <c r="I44" i="61" s="1"/>
  <c r="H5" i="67"/>
  <c r="H44" i="61" s="1"/>
  <c r="G5" i="67"/>
  <c r="G44" i="61" s="1"/>
  <c r="F5" i="67"/>
  <c r="F44" i="61" s="1"/>
  <c r="E5" i="67"/>
  <c r="E44" i="61" s="1"/>
  <c r="D5" i="67"/>
  <c r="D44" i="61" s="1"/>
  <c r="P17" i="68"/>
  <c r="K5" i="68"/>
  <c r="K57" i="61" s="1"/>
  <c r="L5" i="68"/>
  <c r="L57" i="61" s="1"/>
  <c r="K11" i="67"/>
  <c r="L11" i="67"/>
  <c r="D11" i="67"/>
  <c r="D12" i="67" s="1"/>
  <c r="E11" i="67"/>
  <c r="F11" i="67"/>
  <c r="G11" i="67"/>
  <c r="H11" i="67"/>
  <c r="I11" i="67"/>
  <c r="J11" i="67"/>
  <c r="J31" i="65"/>
  <c r="J32" i="65" s="1"/>
  <c r="K31" i="65"/>
  <c r="K32" i="65" s="1"/>
  <c r="J20" i="65"/>
  <c r="J21" i="65" s="1"/>
  <c r="J9" i="65"/>
  <c r="J10" i="65" s="1"/>
  <c r="K9" i="65"/>
  <c r="K10" i="65" s="1"/>
  <c r="J38" i="65"/>
  <c r="K38" i="65"/>
  <c r="J27" i="65"/>
  <c r="K27" i="65"/>
  <c r="J16" i="65"/>
  <c r="K16" i="65"/>
  <c r="J28" i="65"/>
  <c r="K28" i="65"/>
  <c r="J29" i="65"/>
  <c r="K29" i="65"/>
  <c r="J17" i="65"/>
  <c r="K17" i="65"/>
  <c r="J18" i="65"/>
  <c r="K18" i="65"/>
  <c r="J6" i="65"/>
  <c r="K6" i="65"/>
  <c r="J7" i="65"/>
  <c r="K7" i="65"/>
  <c r="J50" i="61" l="1"/>
  <c r="J12" i="67"/>
  <c r="J51" i="61" s="1"/>
  <c r="K50" i="61"/>
  <c r="K76" i="61" s="1"/>
  <c r="K77" i="61" s="1"/>
  <c r="K12" i="67"/>
  <c r="K51" i="61" s="1"/>
  <c r="I50" i="61"/>
  <c r="I12" i="67"/>
  <c r="I51" i="61" s="1"/>
  <c r="F50" i="61"/>
  <c r="F12" i="67"/>
  <c r="F51" i="61" s="1"/>
  <c r="E50" i="61"/>
  <c r="E12" i="67"/>
  <c r="E51" i="61" s="1"/>
  <c r="H50" i="61"/>
  <c r="H12" i="67"/>
  <c r="H51" i="61" s="1"/>
  <c r="G50" i="61"/>
  <c r="G12" i="67"/>
  <c r="G51" i="61" s="1"/>
  <c r="L50" i="61"/>
  <c r="L76" i="61" s="1"/>
  <c r="L77" i="61" s="1"/>
  <c r="L12" i="67"/>
  <c r="L51" i="61" s="1"/>
  <c r="K32" i="61"/>
  <c r="K35" i="61" s="1"/>
  <c r="K35" i="66"/>
  <c r="K43" i="66"/>
  <c r="K43" i="61" s="1"/>
  <c r="K42" i="66"/>
  <c r="K42" i="61" s="1"/>
  <c r="O7" i="65"/>
  <c r="O6" i="65"/>
  <c r="K31" i="66"/>
  <c r="K31" i="61" s="1"/>
  <c r="K36" i="61"/>
  <c r="K41" i="61"/>
  <c r="K37" i="61"/>
  <c r="K38" i="61"/>
  <c r="D50" i="61"/>
  <c r="P11" i="67"/>
  <c r="P12" i="67" s="1"/>
  <c r="P51" i="61" s="1"/>
  <c r="D51" i="61"/>
  <c r="K40" i="66"/>
  <c r="K40" i="61" s="1"/>
  <c r="J5" i="67"/>
  <c r="J44" i="61" s="1"/>
  <c r="K5" i="67"/>
  <c r="K44" i="61" s="1"/>
  <c r="L5" i="67"/>
  <c r="L44" i="61" s="1"/>
  <c r="P50" i="61" l="1"/>
  <c r="I16" i="67"/>
  <c r="I55" i="61" s="1"/>
  <c r="C25" i="68" l="1"/>
  <c r="I17" i="68"/>
  <c r="I69" i="61" s="1"/>
  <c r="H17" i="68"/>
  <c r="H69" i="61" s="1"/>
  <c r="G17" i="68"/>
  <c r="G69" i="61" s="1"/>
  <c r="F17" i="68"/>
  <c r="F69" i="61" s="1"/>
  <c r="E17" i="68"/>
  <c r="E69" i="61" s="1"/>
  <c r="D17" i="68"/>
  <c r="D69" i="61" s="1"/>
  <c r="J16" i="68"/>
  <c r="J68" i="61" s="1"/>
  <c r="I16" i="68"/>
  <c r="I68" i="61" s="1"/>
  <c r="H16" i="68"/>
  <c r="H68" i="61" s="1"/>
  <c r="G16" i="68"/>
  <c r="G68" i="61" s="1"/>
  <c r="F16" i="68"/>
  <c r="F68" i="61" s="1"/>
  <c r="E16" i="68"/>
  <c r="E68" i="61" s="1"/>
  <c r="D16" i="68"/>
  <c r="D68" i="61" s="1"/>
  <c r="J14" i="68"/>
  <c r="J66" i="61" s="1"/>
  <c r="I14" i="68"/>
  <c r="I66" i="61" s="1"/>
  <c r="H14" i="68"/>
  <c r="H66" i="61" s="1"/>
  <c r="G14" i="68"/>
  <c r="G66" i="61" s="1"/>
  <c r="F14" i="68"/>
  <c r="F66" i="61" s="1"/>
  <c r="E14" i="68"/>
  <c r="E66" i="61" s="1"/>
  <c r="D14" i="68"/>
  <c r="D66" i="61" s="1"/>
  <c r="J5" i="68"/>
  <c r="J57" i="61" s="1"/>
  <c r="I5" i="68"/>
  <c r="I57" i="61" s="1"/>
  <c r="H5" i="68"/>
  <c r="H57" i="61" s="1"/>
  <c r="G5" i="68"/>
  <c r="G57" i="61" s="1"/>
  <c r="F5" i="68"/>
  <c r="F57" i="61" s="1"/>
  <c r="E5" i="68"/>
  <c r="E57" i="61" s="1"/>
  <c r="D5" i="68"/>
  <c r="D57" i="61" s="1"/>
  <c r="J21" i="67"/>
  <c r="I21" i="67"/>
  <c r="H21" i="67"/>
  <c r="G21" i="67"/>
  <c r="F21" i="67"/>
  <c r="E21" i="67"/>
  <c r="D21" i="67"/>
  <c r="C30" i="67"/>
  <c r="J17" i="67"/>
  <c r="J56" i="61" s="1"/>
  <c r="I17" i="67"/>
  <c r="I56" i="61" s="1"/>
  <c r="H17" i="67"/>
  <c r="H56" i="61" s="1"/>
  <c r="G17" i="67"/>
  <c r="G56" i="61" s="1"/>
  <c r="F17" i="67"/>
  <c r="F56" i="61" s="1"/>
  <c r="E17" i="67"/>
  <c r="E56" i="61" s="1"/>
  <c r="D17" i="67"/>
  <c r="D56" i="61" s="1"/>
  <c r="J16" i="67"/>
  <c r="J55" i="61" s="1"/>
  <c r="H16" i="67"/>
  <c r="H55" i="61" s="1"/>
  <c r="G16" i="67"/>
  <c r="G55" i="61" s="1"/>
  <c r="F16" i="67"/>
  <c r="F55" i="61" s="1"/>
  <c r="E16" i="67"/>
  <c r="E55" i="61" s="1"/>
  <c r="D16" i="67"/>
  <c r="D55" i="61" s="1"/>
  <c r="J14" i="67"/>
  <c r="J53" i="61" s="1"/>
  <c r="I14" i="67"/>
  <c r="I53" i="61" s="1"/>
  <c r="H14" i="67"/>
  <c r="H53" i="61" s="1"/>
  <c r="G14" i="67"/>
  <c r="G53" i="61" s="1"/>
  <c r="F14" i="67"/>
  <c r="F53" i="61" s="1"/>
  <c r="E14" i="67"/>
  <c r="E53" i="61" s="1"/>
  <c r="D14" i="67"/>
  <c r="D53" i="61" s="1"/>
  <c r="I28" i="65"/>
  <c r="H28" i="65"/>
  <c r="G28" i="65"/>
  <c r="F28" i="65"/>
  <c r="E28" i="65"/>
  <c r="D28" i="65"/>
  <c r="C28" i="65"/>
  <c r="I17" i="65"/>
  <c r="H17" i="65"/>
  <c r="G17" i="65"/>
  <c r="F17" i="65"/>
  <c r="E17" i="65"/>
  <c r="D17" i="65"/>
  <c r="C17" i="65"/>
  <c r="I6" i="65"/>
  <c r="D6" i="65"/>
  <c r="E6" i="65"/>
  <c r="F6" i="65"/>
  <c r="G6" i="65"/>
  <c r="H6" i="65"/>
  <c r="C6" i="65"/>
  <c r="J48" i="66"/>
  <c r="I48" i="66"/>
  <c r="H48" i="66"/>
  <c r="G48" i="66"/>
  <c r="F48" i="66"/>
  <c r="E48" i="66"/>
  <c r="D48" i="66"/>
  <c r="J41" i="66"/>
  <c r="I41" i="66"/>
  <c r="H41" i="66"/>
  <c r="G41" i="66"/>
  <c r="F41" i="66"/>
  <c r="E41" i="66"/>
  <c r="D41" i="66"/>
  <c r="J39" i="66"/>
  <c r="J39" i="61" s="1"/>
  <c r="I39" i="66"/>
  <c r="I39" i="61" s="1"/>
  <c r="H39" i="66"/>
  <c r="H39" i="61" s="1"/>
  <c r="G39" i="66"/>
  <c r="G39" i="61" s="1"/>
  <c r="F39" i="66"/>
  <c r="F39" i="61" s="1"/>
  <c r="E39" i="66"/>
  <c r="E39" i="61" s="1"/>
  <c r="D39" i="66"/>
  <c r="J37" i="66"/>
  <c r="J38" i="66" s="1"/>
  <c r="I37" i="66"/>
  <c r="I38" i="66" s="1"/>
  <c r="H37" i="66"/>
  <c r="H38" i="66" s="1"/>
  <c r="G37" i="66"/>
  <c r="G38" i="66" s="1"/>
  <c r="F37" i="66"/>
  <c r="F38" i="66" s="1"/>
  <c r="E37" i="66"/>
  <c r="E38" i="66" s="1"/>
  <c r="D37" i="66"/>
  <c r="D38" i="66" s="1"/>
  <c r="J36" i="66"/>
  <c r="J36" i="61" s="1"/>
  <c r="I36" i="66"/>
  <c r="I36" i="61" s="1"/>
  <c r="H36" i="66"/>
  <c r="H36" i="61" s="1"/>
  <c r="G36" i="66"/>
  <c r="G36" i="61" s="1"/>
  <c r="F36" i="66"/>
  <c r="F36" i="61" s="1"/>
  <c r="E36" i="66"/>
  <c r="E36" i="61" s="1"/>
  <c r="D36" i="66"/>
  <c r="J34" i="66"/>
  <c r="J34" i="61" s="1"/>
  <c r="I34" i="66"/>
  <c r="I34" i="61" s="1"/>
  <c r="H34" i="66"/>
  <c r="H34" i="61" s="1"/>
  <c r="G34" i="66"/>
  <c r="G34" i="61" s="1"/>
  <c r="F34" i="66"/>
  <c r="F34" i="61" s="1"/>
  <c r="E34" i="66"/>
  <c r="E34" i="61" s="1"/>
  <c r="D34" i="66"/>
  <c r="J33" i="66"/>
  <c r="J33" i="61" s="1"/>
  <c r="I33" i="66"/>
  <c r="I33" i="61" s="1"/>
  <c r="H33" i="66"/>
  <c r="H33" i="61" s="1"/>
  <c r="G33" i="66"/>
  <c r="G33" i="61" s="1"/>
  <c r="F33" i="66"/>
  <c r="F33" i="61" s="1"/>
  <c r="E33" i="66"/>
  <c r="E33" i="61" s="1"/>
  <c r="D33" i="66"/>
  <c r="J32" i="66"/>
  <c r="I32" i="66"/>
  <c r="H32" i="66"/>
  <c r="G32" i="66"/>
  <c r="F32" i="66"/>
  <c r="E32" i="66"/>
  <c r="D32" i="66"/>
  <c r="I30" i="66"/>
  <c r="I30" i="61" s="1"/>
  <c r="H30" i="66"/>
  <c r="H30" i="61" s="1"/>
  <c r="G30" i="66"/>
  <c r="G30" i="61" s="1"/>
  <c r="F30" i="66"/>
  <c r="F30" i="61" s="1"/>
  <c r="E30" i="66"/>
  <c r="E30" i="61" s="1"/>
  <c r="D30" i="66"/>
  <c r="D30" i="61" s="1"/>
  <c r="I29" i="66"/>
  <c r="I29" i="61" s="1"/>
  <c r="H29" i="66"/>
  <c r="H29" i="61" s="1"/>
  <c r="G29" i="66"/>
  <c r="G29" i="61" s="1"/>
  <c r="F29" i="66"/>
  <c r="F29" i="61" s="1"/>
  <c r="E29" i="66"/>
  <c r="E29" i="61" s="1"/>
  <c r="D29" i="66"/>
  <c r="D29" i="61" s="1"/>
  <c r="J27" i="66"/>
  <c r="J27" i="61" s="1"/>
  <c r="I27" i="66"/>
  <c r="I27" i="61" s="1"/>
  <c r="H27" i="66"/>
  <c r="H27" i="61" s="1"/>
  <c r="G27" i="66"/>
  <c r="G27" i="61" s="1"/>
  <c r="F27" i="66"/>
  <c r="F27" i="61" s="1"/>
  <c r="E27" i="66"/>
  <c r="E27" i="61" s="1"/>
  <c r="D27" i="66"/>
  <c r="D27" i="61" s="1"/>
  <c r="J25" i="61"/>
  <c r="I25" i="61"/>
  <c r="H25" i="61"/>
  <c r="G25" i="61"/>
  <c r="F25" i="61"/>
  <c r="E25" i="61"/>
  <c r="D25" i="61"/>
  <c r="J18" i="66"/>
  <c r="J18" i="61" s="1"/>
  <c r="I18" i="66"/>
  <c r="I18" i="61" s="1"/>
  <c r="H18" i="66"/>
  <c r="H18" i="61" s="1"/>
  <c r="G18" i="66"/>
  <c r="G18" i="61" s="1"/>
  <c r="F18" i="66"/>
  <c r="F18" i="61" s="1"/>
  <c r="E18" i="66"/>
  <c r="E18" i="61" s="1"/>
  <c r="D18" i="66"/>
  <c r="D18" i="61" s="1"/>
  <c r="I17" i="66"/>
  <c r="I17" i="61" s="1"/>
  <c r="H17" i="66"/>
  <c r="H17" i="61" s="1"/>
  <c r="G17" i="66"/>
  <c r="G17" i="61" s="1"/>
  <c r="F17" i="66"/>
  <c r="F17" i="61" s="1"/>
  <c r="E17" i="66"/>
  <c r="E17" i="61" s="1"/>
  <c r="D17" i="66"/>
  <c r="D17" i="61" s="1"/>
  <c r="I16" i="66"/>
  <c r="I16" i="61" s="1"/>
  <c r="H16" i="66"/>
  <c r="H16" i="61" s="1"/>
  <c r="G16" i="66"/>
  <c r="G16" i="61" s="1"/>
  <c r="F16" i="66"/>
  <c r="F16" i="61" s="1"/>
  <c r="E16" i="66"/>
  <c r="E16" i="61" s="1"/>
  <c r="D16" i="66"/>
  <c r="D16" i="61" s="1"/>
  <c r="J14" i="66"/>
  <c r="J14" i="61" s="1"/>
  <c r="I14" i="66"/>
  <c r="I14" i="61" s="1"/>
  <c r="H14" i="66"/>
  <c r="H14" i="61" s="1"/>
  <c r="G14" i="66"/>
  <c r="G14" i="61" s="1"/>
  <c r="F14" i="66"/>
  <c r="F14" i="61" s="1"/>
  <c r="E14" i="66"/>
  <c r="E14" i="61" s="1"/>
  <c r="D14" i="66"/>
  <c r="D14" i="61" s="1"/>
  <c r="J12" i="61"/>
  <c r="I12" i="61"/>
  <c r="H12" i="61"/>
  <c r="G12" i="61"/>
  <c r="F12" i="61"/>
  <c r="E12" i="61"/>
  <c r="D12" i="61"/>
  <c r="P5" i="66"/>
  <c r="P9" i="66"/>
  <c r="P8" i="66"/>
  <c r="P7" i="66"/>
  <c r="J5" i="66"/>
  <c r="J5" i="61" s="1"/>
  <c r="I5" i="66"/>
  <c r="I5" i="61" s="1"/>
  <c r="H5" i="66"/>
  <c r="H5" i="61" s="1"/>
  <c r="G5" i="66"/>
  <c r="G5" i="61" s="1"/>
  <c r="F5" i="66"/>
  <c r="F5" i="61" s="1"/>
  <c r="E5" i="66"/>
  <c r="E5" i="61" s="1"/>
  <c r="D5" i="66"/>
  <c r="D5" i="61" s="1"/>
  <c r="E32" i="61" l="1"/>
  <c r="E35" i="61" s="1"/>
  <c r="E35" i="66"/>
  <c r="J32" i="61"/>
  <c r="J35" i="61" s="1"/>
  <c r="J35" i="66"/>
  <c r="G32" i="61"/>
  <c r="G35" i="61" s="1"/>
  <c r="G35" i="66"/>
  <c r="I32" i="61"/>
  <c r="I35" i="61" s="1"/>
  <c r="I35" i="66"/>
  <c r="F32" i="61"/>
  <c r="F35" i="61" s="1"/>
  <c r="F35" i="66"/>
  <c r="D35" i="66"/>
  <c r="H32" i="61"/>
  <c r="H35" i="61" s="1"/>
  <c r="H35" i="66"/>
  <c r="F42" i="66"/>
  <c r="F43" i="66"/>
  <c r="F43" i="61" s="1"/>
  <c r="J42" i="66"/>
  <c r="J42" i="61" s="1"/>
  <c r="J43" i="66"/>
  <c r="J43" i="61" s="1"/>
  <c r="G43" i="66"/>
  <c r="G43" i="61" s="1"/>
  <c r="G42" i="66"/>
  <c r="G42" i="61" s="1"/>
  <c r="H42" i="66"/>
  <c r="H42" i="61" s="1"/>
  <c r="H43" i="66"/>
  <c r="H43" i="61" s="1"/>
  <c r="I42" i="66"/>
  <c r="I42" i="61" s="1"/>
  <c r="I43" i="66"/>
  <c r="I43" i="61" s="1"/>
  <c r="E85" i="61"/>
  <c r="E23" i="67"/>
  <c r="I85" i="61"/>
  <c r="I23" i="67"/>
  <c r="F85" i="61"/>
  <c r="F23" i="67"/>
  <c r="J85" i="61"/>
  <c r="J23" i="67"/>
  <c r="G85" i="61"/>
  <c r="G23" i="67"/>
  <c r="D23" i="67"/>
  <c r="D85" i="61"/>
  <c r="H23" i="67"/>
  <c r="H85" i="61"/>
  <c r="P36" i="66"/>
  <c r="D36" i="61"/>
  <c r="P36" i="61" s="1"/>
  <c r="D92" i="61"/>
  <c r="D50" i="66"/>
  <c r="P48" i="66"/>
  <c r="R46" i="66" s="1"/>
  <c r="P32" i="66"/>
  <c r="D32" i="61"/>
  <c r="D37" i="61"/>
  <c r="D38" i="61"/>
  <c r="P37" i="66"/>
  <c r="P38" i="66" s="1"/>
  <c r="P38" i="61" s="1"/>
  <c r="H38" i="61"/>
  <c r="H37" i="61"/>
  <c r="F41" i="61"/>
  <c r="J41" i="61"/>
  <c r="G92" i="61"/>
  <c r="G50" i="66"/>
  <c r="E38" i="61"/>
  <c r="E37" i="61"/>
  <c r="I38" i="61"/>
  <c r="I37" i="61"/>
  <c r="H92" i="61"/>
  <c r="H50" i="66"/>
  <c r="P34" i="66"/>
  <c r="P34" i="61"/>
  <c r="F37" i="61"/>
  <c r="F38" i="61"/>
  <c r="J37" i="61"/>
  <c r="J38" i="61"/>
  <c r="D41" i="61"/>
  <c r="P41" i="66"/>
  <c r="H41" i="61"/>
  <c r="E50" i="66"/>
  <c r="E92" i="61"/>
  <c r="I50" i="66"/>
  <c r="I92" i="61"/>
  <c r="G41" i="61"/>
  <c r="D33" i="61"/>
  <c r="P33" i="61" s="1"/>
  <c r="P33" i="66"/>
  <c r="G37" i="61"/>
  <c r="G38" i="61"/>
  <c r="P39" i="66"/>
  <c r="D39" i="61"/>
  <c r="P39" i="61" s="1"/>
  <c r="E43" i="66"/>
  <c r="E43" i="61" s="1"/>
  <c r="E41" i="61"/>
  <c r="I41" i="61"/>
  <c r="F50" i="66"/>
  <c r="F92" i="61"/>
  <c r="J92" i="61"/>
  <c r="J50" i="66"/>
  <c r="P21" i="67"/>
  <c r="R19" i="67" s="1"/>
  <c r="P5" i="67"/>
  <c r="P16" i="67"/>
  <c r="P14" i="67"/>
  <c r="C29" i="67"/>
  <c r="P17" i="67"/>
  <c r="D31" i="66"/>
  <c r="D31" i="61" s="1"/>
  <c r="H31" i="66"/>
  <c r="H31" i="61" s="1"/>
  <c r="F31" i="66"/>
  <c r="F31" i="61" s="1"/>
  <c r="J31" i="66"/>
  <c r="J31" i="61" s="1"/>
  <c r="E40" i="66"/>
  <c r="E40" i="61" s="1"/>
  <c r="I40" i="66"/>
  <c r="I40" i="61" s="1"/>
  <c r="G40" i="66"/>
  <c r="G40" i="61" s="1"/>
  <c r="E31" i="66"/>
  <c r="E31" i="61" s="1"/>
  <c r="I31" i="66"/>
  <c r="I31" i="61" s="1"/>
  <c r="P14" i="66"/>
  <c r="P17" i="66"/>
  <c r="H40" i="66"/>
  <c r="H40" i="61" s="1"/>
  <c r="F40" i="66"/>
  <c r="F40" i="61" s="1"/>
  <c r="J40" i="66"/>
  <c r="J40" i="61" s="1"/>
  <c r="P16" i="66"/>
  <c r="F42" i="61"/>
  <c r="D40" i="66"/>
  <c r="D40" i="61" s="1"/>
  <c r="D42" i="66"/>
  <c r="D42" i="61" s="1"/>
  <c r="D43" i="66"/>
  <c r="D43" i="61" s="1"/>
  <c r="E42" i="66"/>
  <c r="E42" i="61" s="1"/>
  <c r="G31" i="66"/>
  <c r="G31" i="61" s="1"/>
  <c r="P35" i="66" l="1"/>
  <c r="P32" i="61"/>
  <c r="P40" i="61" s="1"/>
  <c r="D35" i="61"/>
  <c r="P35" i="61" s="1"/>
  <c r="P85" i="61"/>
  <c r="P87" i="61" s="1"/>
  <c r="P23" i="67"/>
  <c r="P43" i="66"/>
  <c r="P42" i="66"/>
  <c r="P41" i="61"/>
  <c r="P37" i="61"/>
  <c r="P31" i="61"/>
  <c r="P92" i="61"/>
  <c r="P50" i="66"/>
  <c r="P40" i="66"/>
  <c r="P31" i="66"/>
  <c r="C24" i="68"/>
  <c r="R20" i="67"/>
  <c r="R47" i="66"/>
  <c r="I80" i="61"/>
  <c r="J80" i="61"/>
  <c r="J82" i="61" s="1"/>
  <c r="P43" i="61" l="1"/>
  <c r="P42" i="61"/>
  <c r="I82" i="61"/>
  <c r="E96" i="61" l="1"/>
  <c r="F96" i="61"/>
  <c r="G96" i="61"/>
  <c r="H96" i="61"/>
  <c r="I96" i="61"/>
  <c r="J96" i="61"/>
  <c r="D96" i="61" l="1"/>
  <c r="I71" i="61" l="1"/>
  <c r="I81" i="61" s="1"/>
  <c r="J71" i="61"/>
  <c r="J81" i="61" s="1"/>
  <c r="I75" i="61"/>
  <c r="J75" i="61"/>
  <c r="I79" i="61" l="1"/>
  <c r="J79" i="61"/>
  <c r="H18" i="65" l="1"/>
  <c r="I18" i="65"/>
  <c r="H38" i="65"/>
  <c r="I38" i="65"/>
  <c r="H27" i="65"/>
  <c r="I27" i="65"/>
  <c r="H16" i="65"/>
  <c r="I16" i="65"/>
  <c r="I104" i="61" l="1"/>
  <c r="J104" i="61"/>
  <c r="I31" i="65" l="1"/>
  <c r="I32" i="65" s="1"/>
  <c r="H31" i="65"/>
  <c r="H32" i="65" s="1"/>
  <c r="H29" i="65"/>
  <c r="I29" i="65"/>
  <c r="H20" i="65"/>
  <c r="H21" i="65" s="1"/>
  <c r="I20" i="65"/>
  <c r="I21" i="65" s="1"/>
  <c r="H7" i="65"/>
  <c r="I7" i="65"/>
  <c r="H9" i="65"/>
  <c r="H10" i="65" s="1"/>
  <c r="I9" i="65"/>
  <c r="I10" i="65" s="1"/>
  <c r="O9" i="65"/>
  <c r="O10" i="65" s="1"/>
  <c r="I87" i="61" l="1"/>
  <c r="J87" i="61"/>
  <c r="I78" i="61"/>
  <c r="I70" i="61" s="1"/>
  <c r="J78" i="61" l="1"/>
  <c r="J70" i="61" s="1"/>
  <c r="C7" i="65"/>
  <c r="D7" i="65"/>
  <c r="E7" i="65"/>
  <c r="F7" i="65"/>
  <c r="G7" i="65"/>
  <c r="C9" i="65"/>
  <c r="C10" i="65" s="1"/>
  <c r="D9" i="65"/>
  <c r="D10" i="65" s="1"/>
  <c r="E9" i="65"/>
  <c r="E10" i="65" s="1"/>
  <c r="F9" i="65"/>
  <c r="F10" i="65" s="1"/>
  <c r="G9" i="65"/>
  <c r="G10" i="65" s="1"/>
  <c r="C16" i="65"/>
  <c r="D16" i="65"/>
  <c r="E16" i="65"/>
  <c r="F16" i="65"/>
  <c r="G16" i="65"/>
  <c r="O16" i="65"/>
  <c r="C18" i="65"/>
  <c r="D18" i="65"/>
  <c r="E18" i="65"/>
  <c r="F18" i="65"/>
  <c r="G18" i="65"/>
  <c r="C20" i="65"/>
  <c r="C21" i="65" s="1"/>
  <c r="D20" i="65"/>
  <c r="D21" i="65" s="1"/>
  <c r="E20" i="65"/>
  <c r="E21" i="65" s="1"/>
  <c r="F20" i="65"/>
  <c r="F21" i="65" s="1"/>
  <c r="G20" i="65"/>
  <c r="G21" i="65" s="1"/>
  <c r="C27" i="65"/>
  <c r="D27" i="65"/>
  <c r="E27" i="65"/>
  <c r="F27" i="65"/>
  <c r="G27" i="65"/>
  <c r="C29" i="65"/>
  <c r="D29" i="65"/>
  <c r="E29" i="65"/>
  <c r="F29" i="65"/>
  <c r="G29" i="65"/>
  <c r="C31" i="65"/>
  <c r="C32" i="65" s="1"/>
  <c r="D31" i="65"/>
  <c r="D32" i="65" s="1"/>
  <c r="E31" i="65"/>
  <c r="E32" i="65" s="1"/>
  <c r="F31" i="65"/>
  <c r="F32" i="65" s="1"/>
  <c r="G31" i="65"/>
  <c r="G32" i="65" s="1"/>
  <c r="C38" i="65"/>
  <c r="D38" i="65"/>
  <c r="E38" i="65"/>
  <c r="F38" i="65"/>
  <c r="G38" i="65"/>
  <c r="E78" i="61"/>
  <c r="F78" i="61"/>
  <c r="G78" i="61"/>
  <c r="D71" i="61"/>
  <c r="E71" i="61"/>
  <c r="F71" i="61"/>
  <c r="G71" i="61"/>
  <c r="H71" i="61"/>
  <c r="D75" i="61"/>
  <c r="E75" i="61"/>
  <c r="F75" i="61"/>
  <c r="G75" i="61"/>
  <c r="H75" i="61"/>
  <c r="D80" i="61"/>
  <c r="E80" i="61"/>
  <c r="E82" i="61" s="1"/>
  <c r="F80" i="61"/>
  <c r="F82" i="61" s="1"/>
  <c r="G80" i="61"/>
  <c r="H80" i="61"/>
  <c r="H82" i="61" s="1"/>
  <c r="E87" i="61"/>
  <c r="F87" i="61"/>
  <c r="G87" i="61"/>
  <c r="H87" i="61"/>
  <c r="D94" i="61"/>
  <c r="E94" i="61"/>
  <c r="F94" i="61"/>
  <c r="G94" i="61"/>
  <c r="H94" i="61"/>
  <c r="D101" i="61"/>
  <c r="P101" i="61" s="1"/>
  <c r="P80" i="61" l="1"/>
  <c r="P75" i="61"/>
  <c r="P71" i="61"/>
  <c r="C109" i="61"/>
  <c r="D87" i="61"/>
  <c r="D78" i="61"/>
  <c r="D82" i="61"/>
  <c r="G79" i="61"/>
  <c r="E79" i="61"/>
  <c r="F79" i="61"/>
  <c r="D79" i="61"/>
  <c r="J76" i="61"/>
  <c r="J77" i="61" s="1"/>
  <c r="I76" i="61"/>
  <c r="I77" i="61" s="1"/>
  <c r="F76" i="61"/>
  <c r="F77" i="61" s="1"/>
  <c r="H81" i="61"/>
  <c r="F70" i="61"/>
  <c r="F81" i="61"/>
  <c r="D81" i="61"/>
  <c r="H78" i="61"/>
  <c r="H70" i="61" s="1"/>
  <c r="G70" i="61"/>
  <c r="G81" i="61"/>
  <c r="E81" i="61"/>
  <c r="E70" i="61"/>
  <c r="G82" i="61"/>
  <c r="H79" i="61"/>
  <c r="H76" i="61"/>
  <c r="H77" i="61" s="1"/>
  <c r="D70" i="61" l="1"/>
  <c r="P78" i="61"/>
  <c r="P70" i="61" s="1"/>
  <c r="P79" i="61"/>
  <c r="P82" i="61"/>
  <c r="P81" i="61"/>
  <c r="H104" i="61"/>
  <c r="F104" i="61"/>
  <c r="D102" i="61"/>
  <c r="P102" i="61" s="1"/>
  <c r="E104" i="61"/>
  <c r="C110" i="61"/>
  <c r="G76" i="61"/>
  <c r="G77" i="61" s="1"/>
  <c r="D76" i="61"/>
  <c r="G104" i="61"/>
  <c r="E76" i="61"/>
  <c r="E77" i="61" s="1"/>
  <c r="D77" i="61" l="1"/>
  <c r="P76" i="61"/>
  <c r="P77" i="61" s="1"/>
  <c r="D104" i="61"/>
  <c r="R100" i="61"/>
  <c r="R84" i="61"/>
  <c r="P96" i="61"/>
  <c r="R91" i="61" l="1"/>
  <c r="R90" i="61"/>
  <c r="P104" i="61"/>
  <c r="R83" i="61"/>
  <c r="R101" i="61" l="1"/>
</calcChain>
</file>

<file path=xl/sharedStrings.xml><?xml version="1.0" encoding="utf-8"?>
<sst xmlns="http://schemas.openxmlformats.org/spreadsheetml/2006/main" count="269" uniqueCount="65">
  <si>
    <t>Efficiency</t>
    <phoneticPr fontId="2" type="noConversion"/>
  </si>
  <si>
    <t>FOB Value(US$)</t>
  </si>
  <si>
    <t>Efficiency</t>
  </si>
  <si>
    <r>
      <rPr>
        <sz val="10"/>
        <rFont val="Calibri"/>
        <family val="2"/>
      </rPr>
      <t xml:space="preserve">† </t>
    </r>
    <r>
      <rPr>
        <sz val="10"/>
        <rFont val="Arial"/>
        <family val="2"/>
      </rPr>
      <t>Monthly subcon data weighted across working days from weekly production report data</t>
    </r>
  </si>
  <si>
    <t>Ocean Sky Cambodia Monthly Productivity Data</t>
  </si>
  <si>
    <t>Overall (In-house production)</t>
  </si>
  <si>
    <t>* Based on planned holidays in Cambodia and the 6-day working week</t>
  </si>
  <si>
    <t>No of sewers (Standardised)</t>
  </si>
  <si>
    <t xml:space="preserve">Ave no. of sewers </t>
  </si>
  <si>
    <t>Ave. SMV per Unit</t>
  </si>
  <si>
    <t>Ave. FOB per Unit (US$)</t>
  </si>
  <si>
    <t>Subcon</t>
  </si>
  <si>
    <t>In-house</t>
  </si>
  <si>
    <t>Ave pieces (Units produced) per Style</t>
  </si>
  <si>
    <t>No. of Different Styles during month</t>
  </si>
  <si>
    <t>No. of Style Changeovers</t>
  </si>
  <si>
    <t>Actual</t>
  </si>
  <si>
    <t>VEST
[BS3]</t>
  </si>
  <si>
    <t>TOTAL</t>
  </si>
  <si>
    <t>Units (000)</t>
  </si>
  <si>
    <t>Actual worked minutes (000)</t>
  </si>
  <si>
    <t>SAM (mins 000) = Units x SMV</t>
  </si>
  <si>
    <t>FOB Value(US$ 000)</t>
  </si>
  <si>
    <t>Ave. FOB per working day (US$ 000)</t>
  </si>
  <si>
    <t>In House Units (000)</t>
  </si>
  <si>
    <t>Subcon Units (000)</t>
  </si>
  <si>
    <t>TOTAL Units (000)</t>
  </si>
  <si>
    <t>In House (000)</t>
  </si>
  <si>
    <t>VESTALLE 
[Shipped]</t>
  </si>
  <si>
    <t>In House Mins (000)</t>
  </si>
  <si>
    <t>BTE Monthly Productivity Data</t>
  </si>
  <si>
    <t>ave. Units/day standardised</t>
  </si>
  <si>
    <t>ave. revenue/pc (US$)</t>
  </si>
  <si>
    <t>Output produced (Units 000)</t>
  </si>
  <si>
    <t>Output produced (000 mins)</t>
  </si>
  <si>
    <t>Actual working time (000 mins)</t>
  </si>
  <si>
    <t>NPT (000 mins)</t>
  </si>
  <si>
    <t>EMB</t>
  </si>
  <si>
    <t>PRINT</t>
  </si>
  <si>
    <t>LDRY</t>
  </si>
  <si>
    <t>Shipped Units (000)</t>
  </si>
  <si>
    <t>Output (ave Units 000/day)</t>
  </si>
  <si>
    <t>YTI [Shipped]</t>
  </si>
  <si>
    <t>TOTAL [Shipped]</t>
  </si>
  <si>
    <t>% Breakdown</t>
  </si>
  <si>
    <t>In-house Units (000)</t>
  </si>
  <si>
    <t>% In-house</t>
  </si>
  <si>
    <t>Total working days</t>
  </si>
  <si>
    <t xml:space="preserve">Bright Sky </t>
  </si>
  <si>
    <t>BRIGHT SKY 
[Shipped]</t>
  </si>
  <si>
    <t>[Shipped] Revenue (US$ 000)</t>
  </si>
  <si>
    <t>Working days per month</t>
  </si>
  <si>
    <t>Efficiency (Incl. NPT)</t>
  </si>
  <si>
    <t>Bright Sky 2
[Lower]</t>
  </si>
  <si>
    <t xml:space="preserve">Bright Sky 1
[Upper] </t>
  </si>
  <si>
    <t>Bright Sky 
[Overall]</t>
  </si>
  <si>
    <t>YTI
[SUNTEX]</t>
  </si>
  <si>
    <t>In-House Mins (000)</t>
  </si>
  <si>
    <t>In-House Units (000)</t>
  </si>
  <si>
    <t>Ave pieces per Style (000)</t>
  </si>
  <si>
    <t>No. of Different Styles</t>
  </si>
  <si>
    <t>[period 01 Jan - 31 Dec 2014]</t>
  </si>
  <si>
    <t>Efficiency [period 01 Oct - 31 Dec 2014]</t>
  </si>
  <si>
    <t>Efficiency [period 01 Jan - 31 Dec 2014]</t>
  </si>
  <si>
    <t>[period 01 Oct - 31 Dec 2014]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</si>
</sst>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* #,##0.00_ ;_ * \-#,##0.00_ ;_ * &quot;-&quot;??_ ;_ @_ "/>
    <numFmt numFmtId="165" formatCode="0.0%"/>
    <numFmt numFmtId="166" formatCode="_ * #,##0_ ;_ * \-#,##0_ ;_ * &quot;-&quot;??_ ;_ @_ "/>
    <numFmt numFmtId="167" formatCode="m/d;@"/>
    <numFmt numFmtId="168" formatCode="0;_됀"/>
    <numFmt numFmtId="169" formatCode="0.000;_됀"/>
    <numFmt numFmtId="170" formatCode="#,##0.0"/>
    <numFmt numFmtId="171" formatCode="[$-409]mmm\-yy;@"/>
    <numFmt numFmtId="172" formatCode="_(* #,##0_);_(* \(#,##0\);_(* &quot;-&quot;??_);_(@_)"/>
  </numFmts>
  <fonts count="37">
    <font>
      <sz val="12"/>
      <name val="宋体"/>
      <charset val="134"/>
    </font>
    <font>
      <sz val="12"/>
      <name val="宋体"/>
      <charset val="134"/>
    </font>
    <font>
      <sz val="9"/>
      <name val="宋体"/>
      <charset val="134"/>
    </font>
    <font>
      <b/>
      <sz val="10"/>
      <name val="Arial"/>
      <family val="2"/>
    </font>
    <font>
      <sz val="10"/>
      <name val="Arial"/>
      <family val="2"/>
    </font>
    <font>
      <b/>
      <sz val="18"/>
      <name val="Arial"/>
      <family val="2"/>
    </font>
    <font>
      <b/>
      <sz val="10"/>
      <color indexed="12"/>
      <name val="Arial"/>
      <family val="2"/>
    </font>
    <font>
      <b/>
      <sz val="10"/>
      <color indexed="14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8"/>
      <color indexed="56"/>
      <name val="Cambria"/>
      <family val="2"/>
    </font>
    <font>
      <sz val="10"/>
      <color indexed="8"/>
      <name val="Arial"/>
      <family val="2"/>
    </font>
    <font>
      <sz val="12"/>
      <name val="Tahoma"/>
      <family val="2"/>
    </font>
    <font>
      <sz val="11"/>
      <color indexed="8"/>
      <name val="Calibri"/>
      <family val="2"/>
      <charset val="134"/>
    </font>
    <font>
      <sz val="10"/>
      <name val="Calibri"/>
      <family val="2"/>
    </font>
    <font>
      <sz val="10"/>
      <name val="Verdana"/>
      <family val="2"/>
    </font>
    <font>
      <b/>
      <sz val="11"/>
      <name val="Arial"/>
      <family val="2"/>
    </font>
    <font>
      <b/>
      <sz val="12"/>
      <name val="Arial"/>
      <family val="2"/>
    </font>
    <font>
      <sz val="11"/>
      <name val="Arial"/>
      <family val="2"/>
    </font>
    <font>
      <b/>
      <u/>
      <sz val="11"/>
      <name val="Arial"/>
      <family val="2"/>
    </font>
    <font>
      <i/>
      <sz val="9"/>
      <name val="Arial"/>
      <family val="2"/>
    </font>
    <font>
      <b/>
      <sz val="11"/>
      <color theme="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5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7">
    <xf numFmtId="0" fontId="0" fillId="0" borderId="0">
      <alignment vertical="top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1" applyNumberFormat="0" applyAlignment="0" applyProtection="0"/>
    <xf numFmtId="0" fontId="12" fillId="21" borderId="2" applyNumberFormat="0" applyAlignment="0" applyProtection="0"/>
    <xf numFmtId="164" fontId="1" fillId="0" borderId="0" applyFont="0" applyFill="0" applyBorder="0" applyAlignment="0" applyProtection="0">
      <alignment vertical="center"/>
    </xf>
    <xf numFmtId="44" fontId="24" fillId="0" borderId="0" applyFont="0" applyFill="0" applyBorder="0" applyAlignment="0" applyProtection="0"/>
    <xf numFmtId="44" fontId="24" fillId="0" borderId="0" applyFont="0" applyFill="0" applyBorder="0" applyAlignment="0" applyProtection="0"/>
    <xf numFmtId="0" fontId="13" fillId="0" borderId="0" applyNumberFormat="0" applyFill="0" applyBorder="0" applyAlignment="0" applyProtection="0"/>
    <xf numFmtId="0" fontId="14" fillId="4" borderId="0" applyNumberFormat="0" applyBorder="0" applyAlignment="0" applyProtection="0"/>
    <xf numFmtId="0" fontId="15" fillId="0" borderId="3" applyNumberFormat="0" applyFill="0" applyAlignment="0" applyProtection="0"/>
    <xf numFmtId="0" fontId="16" fillId="0" borderId="4" applyNumberFormat="0" applyFill="0" applyAlignment="0" applyProtection="0"/>
    <xf numFmtId="0" fontId="17" fillId="0" borderId="5" applyNumberFormat="0" applyFill="0" applyAlignment="0" applyProtection="0"/>
    <xf numFmtId="0" fontId="17" fillId="0" borderId="0" applyNumberFormat="0" applyFill="0" applyBorder="0" applyAlignment="0" applyProtection="0"/>
    <xf numFmtId="0" fontId="18" fillId="7" borderId="1" applyNumberFormat="0" applyAlignment="0" applyProtection="0"/>
    <xf numFmtId="0" fontId="19" fillId="0" borderId="6" applyNumberFormat="0" applyFill="0" applyAlignment="0" applyProtection="0"/>
    <xf numFmtId="0" fontId="20" fillId="22" borderId="0" applyNumberFormat="0" applyBorder="0" applyAlignment="0" applyProtection="0"/>
    <xf numFmtId="0" fontId="1" fillId="0" borderId="0">
      <alignment vertical="center"/>
    </xf>
    <xf numFmtId="0" fontId="1" fillId="0" borderId="0"/>
    <xf numFmtId="0" fontId="28" fillId="0" borderId="0">
      <alignment vertical="center"/>
    </xf>
    <xf numFmtId="0" fontId="24" fillId="0" borderId="0"/>
    <xf numFmtId="0" fontId="24" fillId="0" borderId="0"/>
    <xf numFmtId="0" fontId="4" fillId="0" borderId="0"/>
    <xf numFmtId="0" fontId="27" fillId="0" borderId="0">
      <alignment vertical="center"/>
    </xf>
    <xf numFmtId="0" fontId="24" fillId="0" borderId="0"/>
    <xf numFmtId="0" fontId="24" fillId="0" borderId="0"/>
    <xf numFmtId="0" fontId="30" fillId="0" borderId="0">
      <alignment vertical="top"/>
    </xf>
    <xf numFmtId="0" fontId="4" fillId="0" borderId="0"/>
    <xf numFmtId="0" fontId="1" fillId="0" borderId="0">
      <alignment vertical="center"/>
    </xf>
    <xf numFmtId="0" fontId="4" fillId="23" borderId="7" applyNumberFormat="0" applyFont="0" applyAlignment="0" applyProtection="0"/>
    <xf numFmtId="0" fontId="8" fillId="23" borderId="7" applyNumberFormat="0" applyFont="0" applyAlignment="0" applyProtection="0"/>
    <xf numFmtId="0" fontId="21" fillId="20" borderId="8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/>
    <xf numFmtId="9" fontId="28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/>
    <xf numFmtId="9" fontId="27" fillId="0" borderId="0" applyFont="0" applyFill="0" applyBorder="0" applyAlignment="0" applyProtection="0">
      <alignment vertical="center"/>
    </xf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0" fontId="26" fillId="0" borderId="0">
      <alignment vertical="top"/>
    </xf>
    <xf numFmtId="0" fontId="25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1" fillId="0" borderId="0"/>
  </cellStyleXfs>
  <cellXfs count="216">
    <xf numFmtId="0" fontId="0" fillId="0" borderId="0" xfId="0" applyAlignment="1">
      <alignment vertical="center"/>
    </xf>
    <xf numFmtId="0" fontId="4" fillId="24" borderId="0" xfId="0" applyFont="1" applyFill="1">
      <alignment vertical="top"/>
    </xf>
    <xf numFmtId="0" fontId="3" fillId="24" borderId="0" xfId="0" applyFont="1" applyFill="1">
      <alignment vertical="top"/>
    </xf>
    <xf numFmtId="0" fontId="4" fillId="24" borderId="0" xfId="0" applyFont="1" applyFill="1" applyBorder="1">
      <alignment vertical="top"/>
    </xf>
    <xf numFmtId="0" fontId="4" fillId="24" borderId="0" xfId="0" applyFont="1" applyFill="1" applyBorder="1" applyAlignment="1">
      <alignment horizontal="center" vertical="top"/>
    </xf>
    <xf numFmtId="0" fontId="4" fillId="24" borderId="0" xfId="0" applyFont="1" applyFill="1" applyAlignment="1">
      <alignment horizontal="center" vertical="top"/>
    </xf>
    <xf numFmtId="0" fontId="5" fillId="24" borderId="0" xfId="0" applyFont="1" applyFill="1">
      <alignment vertical="top"/>
    </xf>
    <xf numFmtId="0" fontId="6" fillId="24" borderId="0" xfId="0" applyFont="1" applyFill="1" applyBorder="1">
      <alignment vertical="top"/>
    </xf>
    <xf numFmtId="0" fontId="6" fillId="24" borderId="0" xfId="0" applyFont="1" applyFill="1">
      <alignment vertical="top"/>
    </xf>
    <xf numFmtId="0" fontId="7" fillId="24" borderId="0" xfId="0" applyFont="1" applyFill="1" applyBorder="1">
      <alignment vertical="top"/>
    </xf>
    <xf numFmtId="0" fontId="7" fillId="24" borderId="0" xfId="0" applyFont="1" applyFill="1">
      <alignment vertical="top"/>
    </xf>
    <xf numFmtId="0" fontId="3" fillId="24" borderId="0" xfId="0" applyFont="1" applyFill="1" applyBorder="1">
      <alignment vertical="top"/>
    </xf>
    <xf numFmtId="0" fontId="3" fillId="0" borderId="19" xfId="0" applyFont="1" applyFill="1" applyBorder="1" applyAlignment="1">
      <alignment horizontal="center" vertical="center"/>
    </xf>
    <xf numFmtId="0" fontId="3" fillId="0" borderId="28" xfId="0" applyFont="1" applyFill="1" applyBorder="1" applyAlignment="1">
      <alignment horizontal="center" vertical="center"/>
    </xf>
    <xf numFmtId="3" fontId="4" fillId="24" borderId="0" xfId="0" applyNumberFormat="1" applyFont="1" applyFill="1">
      <alignment vertical="top"/>
    </xf>
    <xf numFmtId="167" fontId="31" fillId="25" borderId="30" xfId="0" applyNumberFormat="1" applyFont="1" applyFill="1" applyBorder="1" applyAlignment="1">
      <alignment horizontal="center" vertical="center" wrapText="1"/>
    </xf>
    <xf numFmtId="165" fontId="33" fillId="28" borderId="16" xfId="0" applyNumberFormat="1" applyFont="1" applyFill="1" applyBorder="1" applyAlignment="1">
      <alignment vertical="center"/>
    </xf>
    <xf numFmtId="3" fontId="33" fillId="0" borderId="10" xfId="0" applyNumberFormat="1" applyFont="1" applyFill="1" applyBorder="1" applyAlignment="1">
      <alignment vertical="center"/>
    </xf>
    <xf numFmtId="3" fontId="33" fillId="28" borderId="10" xfId="0" applyNumberFormat="1" applyFont="1" applyFill="1" applyBorder="1" applyAlignment="1">
      <alignment vertical="center"/>
    </xf>
    <xf numFmtId="169" fontId="33" fillId="0" borderId="24" xfId="0" applyNumberFormat="1" applyFont="1" applyFill="1" applyBorder="1" applyAlignment="1">
      <alignment vertical="center"/>
    </xf>
    <xf numFmtId="3" fontId="33" fillId="0" borderId="10" xfId="51" applyNumberFormat="1" applyFont="1" applyFill="1" applyBorder="1" applyAlignment="1">
      <alignment vertical="center" wrapText="1"/>
    </xf>
    <xf numFmtId="170" fontId="33" fillId="0" borderId="24" xfId="51" applyNumberFormat="1" applyFont="1" applyFill="1" applyBorder="1" applyAlignment="1">
      <alignment vertical="center" wrapText="1"/>
    </xf>
    <xf numFmtId="4" fontId="33" fillId="27" borderId="10" xfId="51" applyNumberFormat="1" applyFont="1" applyFill="1" applyBorder="1" applyAlignment="1">
      <alignment vertical="center" wrapText="1"/>
    </xf>
    <xf numFmtId="3" fontId="33" fillId="29" borderId="33" xfId="51" applyNumberFormat="1" applyFont="1" applyFill="1" applyBorder="1" applyAlignment="1">
      <alignment vertical="center" wrapText="1"/>
    </xf>
    <xf numFmtId="3" fontId="33" fillId="0" borderId="13" xfId="51" applyNumberFormat="1" applyFont="1" applyFill="1" applyBorder="1" applyAlignment="1">
      <alignment vertical="center" wrapText="1"/>
    </xf>
    <xf numFmtId="165" fontId="33" fillId="28" borderId="22" xfId="0" applyNumberFormat="1" applyFont="1" applyFill="1" applyBorder="1" applyAlignment="1">
      <alignment vertical="center"/>
    </xf>
    <xf numFmtId="3" fontId="33" fillId="28" borderId="15" xfId="0" applyNumberFormat="1" applyFont="1" applyFill="1" applyBorder="1" applyAlignment="1">
      <alignment vertical="center"/>
    </xf>
    <xf numFmtId="3" fontId="33" fillId="0" borderId="15" xfId="0" applyNumberFormat="1" applyFont="1" applyFill="1" applyBorder="1" applyAlignment="1">
      <alignment vertical="center"/>
    </xf>
    <xf numFmtId="170" fontId="33" fillId="0" borderId="15" xfId="51" applyNumberFormat="1" applyFont="1" applyFill="1" applyBorder="1" applyAlignment="1">
      <alignment vertical="center" wrapText="1"/>
    </xf>
    <xf numFmtId="4" fontId="33" fillId="27" borderId="15" xfId="51" applyNumberFormat="1" applyFont="1" applyFill="1" applyBorder="1" applyAlignment="1">
      <alignment vertical="center" wrapText="1"/>
    </xf>
    <xf numFmtId="3" fontId="33" fillId="29" borderId="18" xfId="51" applyNumberFormat="1" applyFont="1" applyFill="1" applyBorder="1" applyAlignment="1">
      <alignment vertical="center" wrapText="1"/>
    </xf>
    <xf numFmtId="3" fontId="33" fillId="0" borderId="15" xfId="51" applyNumberFormat="1" applyFont="1" applyFill="1" applyBorder="1" applyAlignment="1">
      <alignment vertical="center" wrapText="1"/>
    </xf>
    <xf numFmtId="3" fontId="33" fillId="0" borderId="22" xfId="51" applyNumberFormat="1" applyFont="1" applyFill="1" applyBorder="1" applyAlignment="1">
      <alignment vertical="center" wrapText="1"/>
    </xf>
    <xf numFmtId="0" fontId="31" fillId="24" borderId="0" xfId="0" applyFont="1" applyFill="1">
      <alignment vertical="top"/>
    </xf>
    <xf numFmtId="0" fontId="31" fillId="31" borderId="30" xfId="0" applyFont="1" applyFill="1" applyBorder="1" applyAlignment="1">
      <alignment horizontal="center" vertical="center"/>
    </xf>
    <xf numFmtId="165" fontId="31" fillId="31" borderId="11" xfId="0" applyNumberFormat="1" applyFont="1" applyFill="1" applyBorder="1" applyAlignment="1">
      <alignment horizontal="center" vertical="center"/>
    </xf>
    <xf numFmtId="165" fontId="33" fillId="28" borderId="26" xfId="0" applyNumberFormat="1" applyFont="1" applyFill="1" applyBorder="1" applyAlignment="1">
      <alignment vertical="center"/>
    </xf>
    <xf numFmtId="3" fontId="33" fillId="28" borderId="25" xfId="0" applyNumberFormat="1" applyFont="1" applyFill="1" applyBorder="1" applyAlignment="1">
      <alignment vertical="center"/>
    </xf>
    <xf numFmtId="3" fontId="33" fillId="0" borderId="25" xfId="0" applyNumberFormat="1" applyFont="1" applyFill="1" applyBorder="1" applyAlignment="1">
      <alignment vertical="center"/>
    </xf>
    <xf numFmtId="3" fontId="33" fillId="0" borderId="16" xfId="51" applyNumberFormat="1" applyFont="1" applyFill="1" applyBorder="1" applyAlignment="1">
      <alignment vertical="center" wrapText="1"/>
    </xf>
    <xf numFmtId="171" fontId="3" fillId="25" borderId="12" xfId="0" applyNumberFormat="1" applyFont="1" applyFill="1" applyBorder="1" applyAlignment="1">
      <alignment horizontal="center" vertical="center"/>
    </xf>
    <xf numFmtId="3" fontId="33" fillId="29" borderId="38" xfId="0" applyNumberFormat="1" applyFont="1" applyFill="1" applyBorder="1" applyAlignment="1">
      <alignment vertical="center"/>
    </xf>
    <xf numFmtId="3" fontId="33" fillId="0" borderId="39" xfId="51" applyNumberFormat="1" applyFont="1" applyFill="1" applyBorder="1" applyAlignment="1">
      <alignment vertical="center" wrapText="1"/>
    </xf>
    <xf numFmtId="3" fontId="33" fillId="29" borderId="10" xfId="51" applyNumberFormat="1" applyFont="1" applyFill="1" applyBorder="1" applyAlignment="1">
      <alignment vertical="center" wrapText="1"/>
    </xf>
    <xf numFmtId="3" fontId="33" fillId="0" borderId="14" xfId="0" applyNumberFormat="1" applyFont="1" applyFill="1" applyBorder="1" applyAlignment="1">
      <alignment vertical="center"/>
    </xf>
    <xf numFmtId="4" fontId="33" fillId="0" borderId="20" xfId="51" applyNumberFormat="1" applyFont="1" applyFill="1" applyBorder="1" applyAlignment="1">
      <alignment vertical="center" wrapText="1"/>
    </xf>
    <xf numFmtId="3" fontId="33" fillId="29" borderId="20" xfId="51" applyNumberFormat="1" applyFont="1" applyFill="1" applyBorder="1" applyAlignment="1">
      <alignment vertical="center" wrapText="1"/>
    </xf>
    <xf numFmtId="0" fontId="31" fillId="31" borderId="30" xfId="0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left" vertical="center"/>
    </xf>
    <xf numFmtId="172" fontId="33" fillId="0" borderId="0" xfId="28" applyNumberFormat="1" applyFont="1" applyFill="1" applyBorder="1" applyAlignment="1">
      <alignment vertical="center"/>
    </xf>
    <xf numFmtId="164" fontId="33" fillId="0" borderId="0" xfId="28" applyFont="1" applyFill="1" applyBorder="1" applyAlignment="1">
      <alignment vertical="center"/>
    </xf>
    <xf numFmtId="0" fontId="33" fillId="0" borderId="0" xfId="0" applyFont="1" applyFill="1" applyBorder="1" applyAlignment="1">
      <alignment horizontal="left"/>
    </xf>
    <xf numFmtId="166" fontId="33" fillId="0" borderId="0" xfId="28" applyNumberFormat="1" applyFont="1" applyFill="1" applyBorder="1" applyAlignment="1">
      <alignment vertical="center"/>
    </xf>
    <xf numFmtId="0" fontId="33" fillId="29" borderId="32" xfId="0" applyFont="1" applyFill="1" applyBorder="1" applyAlignment="1">
      <alignment horizontal="left" vertical="center"/>
    </xf>
    <xf numFmtId="0" fontId="33" fillId="32" borderId="34" xfId="0" applyFont="1" applyFill="1" applyBorder="1" applyAlignment="1">
      <alignment horizontal="left" vertical="center"/>
    </xf>
    <xf numFmtId="0" fontId="35" fillId="24" borderId="0" xfId="0" applyFont="1" applyFill="1" applyAlignment="1">
      <alignment horizontal="center" vertical="top"/>
    </xf>
    <xf numFmtId="9" fontId="33" fillId="35" borderId="11" xfId="55" applyFont="1" applyFill="1" applyBorder="1" applyAlignment="1">
      <alignment vertical="top"/>
    </xf>
    <xf numFmtId="9" fontId="33" fillId="36" borderId="11" xfId="55" applyFont="1" applyFill="1" applyBorder="1" applyAlignment="1">
      <alignment vertical="top"/>
    </xf>
    <xf numFmtId="0" fontId="33" fillId="28" borderId="22" xfId="0" applyFont="1" applyFill="1" applyBorder="1" applyAlignment="1">
      <alignment horizontal="left" vertical="center"/>
    </xf>
    <xf numFmtId="0" fontId="33" fillId="28" borderId="15" xfId="0" applyFont="1" applyFill="1" applyBorder="1" applyAlignment="1">
      <alignment horizontal="left" vertical="center"/>
    </xf>
    <xf numFmtId="0" fontId="33" fillId="0" borderId="15" xfId="0" applyFont="1" applyFill="1" applyBorder="1" applyAlignment="1">
      <alignment horizontal="left" vertical="center"/>
    </xf>
    <xf numFmtId="0" fontId="33" fillId="27" borderId="15" xfId="0" applyFont="1" applyFill="1" applyBorder="1" applyAlignment="1">
      <alignment horizontal="left" vertical="center"/>
    </xf>
    <xf numFmtId="0" fontId="33" fillId="29" borderId="18" xfId="0" applyFont="1" applyFill="1" applyBorder="1" applyAlignment="1">
      <alignment horizontal="left" vertical="center"/>
    </xf>
    <xf numFmtId="0" fontId="33" fillId="29" borderId="40" xfId="0" applyFont="1" applyFill="1" applyBorder="1" applyAlignment="1">
      <alignment horizontal="left" vertical="center"/>
    </xf>
    <xf numFmtId="0" fontId="33" fillId="0" borderId="31" xfId="0" applyFont="1" applyFill="1" applyBorder="1" applyAlignment="1">
      <alignment horizontal="left" vertical="center"/>
    </xf>
    <xf numFmtId="0" fontId="33" fillId="0" borderId="32" xfId="0" applyFont="1" applyFill="1" applyBorder="1" applyAlignment="1">
      <alignment horizontal="left" vertical="center"/>
    </xf>
    <xf numFmtId="0" fontId="33" fillId="29" borderId="34" xfId="0" applyFont="1" applyFill="1" applyBorder="1" applyAlignment="1">
      <alignment horizontal="left" vertical="center"/>
    </xf>
    <xf numFmtId="0" fontId="33" fillId="0" borderId="36" xfId="0" applyFont="1" applyFill="1" applyBorder="1" applyAlignment="1">
      <alignment horizontal="left" vertical="center"/>
    </xf>
    <xf numFmtId="0" fontId="33" fillId="0" borderId="34" xfId="0" applyFont="1" applyFill="1" applyBorder="1" applyAlignment="1">
      <alignment horizontal="left" vertical="center"/>
    </xf>
    <xf numFmtId="0" fontId="33" fillId="28" borderId="39" xfId="0" applyFont="1" applyFill="1" applyBorder="1" applyAlignment="1">
      <alignment horizontal="left" vertical="center"/>
    </xf>
    <xf numFmtId="0" fontId="33" fillId="29" borderId="11" xfId="0" applyFont="1" applyFill="1" applyBorder="1" applyAlignment="1">
      <alignment horizontal="left" vertical="center"/>
    </xf>
    <xf numFmtId="0" fontId="4" fillId="24" borderId="0" xfId="0" applyFont="1" applyFill="1" applyAlignment="1">
      <alignment vertical="center"/>
    </xf>
    <xf numFmtId="169" fontId="33" fillId="0" borderId="10" xfId="0" applyNumberFormat="1" applyFont="1" applyFill="1" applyBorder="1" applyAlignment="1">
      <alignment vertical="center"/>
    </xf>
    <xf numFmtId="170" fontId="33" fillId="0" borderId="10" xfId="51" applyNumberFormat="1" applyFont="1" applyFill="1" applyBorder="1" applyAlignment="1">
      <alignment vertical="center" wrapText="1"/>
    </xf>
    <xf numFmtId="0" fontId="33" fillId="0" borderId="0" xfId="0" applyFont="1" applyFill="1" applyBorder="1" applyAlignment="1"/>
    <xf numFmtId="3" fontId="33" fillId="29" borderId="21" xfId="51" applyNumberFormat="1" applyFont="1" applyFill="1" applyBorder="1" applyAlignment="1">
      <alignment vertical="center" wrapText="1"/>
    </xf>
    <xf numFmtId="0" fontId="3" fillId="0" borderId="0" xfId="0" applyFont="1" applyFill="1" applyBorder="1" applyAlignment="1">
      <alignment horizontal="center" vertical="center"/>
    </xf>
    <xf numFmtId="169" fontId="33" fillId="0" borderId="25" xfId="0" applyNumberFormat="1" applyFont="1" applyFill="1" applyBorder="1" applyAlignment="1">
      <alignment vertical="center"/>
    </xf>
    <xf numFmtId="170" fontId="33" fillId="0" borderId="25" xfId="51" applyNumberFormat="1" applyFont="1" applyFill="1" applyBorder="1" applyAlignment="1">
      <alignment vertical="center" wrapText="1"/>
    </xf>
    <xf numFmtId="4" fontId="33" fillId="27" borderId="25" xfId="51" applyNumberFormat="1" applyFont="1" applyFill="1" applyBorder="1" applyAlignment="1">
      <alignment vertical="center" wrapText="1"/>
    </xf>
    <xf numFmtId="3" fontId="33" fillId="29" borderId="47" xfId="51" applyNumberFormat="1" applyFont="1" applyFill="1" applyBorder="1" applyAlignment="1">
      <alignment vertical="center" wrapText="1"/>
    </xf>
    <xf numFmtId="168" fontId="33" fillId="0" borderId="15" xfId="0" applyNumberFormat="1" applyFont="1" applyFill="1" applyBorder="1" applyAlignment="1">
      <alignment vertical="center"/>
    </xf>
    <xf numFmtId="0" fontId="33" fillId="24" borderId="10" xfId="0" applyFont="1" applyFill="1" applyBorder="1" applyAlignment="1">
      <alignment vertical="center"/>
    </xf>
    <xf numFmtId="3" fontId="33" fillId="0" borderId="48" xfId="51" applyNumberFormat="1" applyFont="1" applyFill="1" applyBorder="1" applyAlignment="1">
      <alignment vertical="center" wrapText="1"/>
    </xf>
    <xf numFmtId="3" fontId="33" fillId="0" borderId="46" xfId="51" applyNumberFormat="1" applyFont="1" applyFill="1" applyBorder="1" applyAlignment="1">
      <alignment vertical="center" wrapText="1"/>
    </xf>
    <xf numFmtId="0" fontId="3" fillId="37" borderId="43" xfId="0" applyFont="1" applyFill="1" applyBorder="1" applyAlignment="1">
      <alignment vertical="center"/>
    </xf>
    <xf numFmtId="0" fontId="31" fillId="37" borderId="11" xfId="0" applyNumberFormat="1" applyFont="1" applyFill="1" applyBorder="1" applyAlignment="1">
      <alignment horizontal="center" vertical="center"/>
    </xf>
    <xf numFmtId="171" fontId="3" fillId="31" borderId="12" xfId="0" applyNumberFormat="1" applyFont="1" applyFill="1" applyBorder="1" applyAlignment="1">
      <alignment horizontal="center" vertical="center"/>
    </xf>
    <xf numFmtId="167" fontId="31" fillId="31" borderId="30" xfId="0" applyNumberFormat="1" applyFont="1" applyFill="1" applyBorder="1" applyAlignment="1">
      <alignment horizontal="center" vertical="center" wrapText="1"/>
    </xf>
    <xf numFmtId="171" fontId="3" fillId="31" borderId="49" xfId="0" applyNumberFormat="1" applyFont="1" applyFill="1" applyBorder="1" applyAlignment="1">
      <alignment horizontal="center" vertical="center"/>
    </xf>
    <xf numFmtId="0" fontId="31" fillId="37" borderId="43" xfId="0" applyNumberFormat="1" applyFont="1" applyFill="1" applyBorder="1" applyAlignment="1">
      <alignment horizontal="center" vertical="center"/>
    </xf>
    <xf numFmtId="170" fontId="33" fillId="0" borderId="17" xfId="51" applyNumberFormat="1" applyFont="1" applyFill="1" applyBorder="1" applyAlignment="1">
      <alignment vertical="center" wrapText="1"/>
    </xf>
    <xf numFmtId="3" fontId="33" fillId="0" borderId="26" xfId="51" applyNumberFormat="1" applyFont="1" applyFill="1" applyBorder="1" applyAlignment="1">
      <alignment vertical="center" wrapText="1"/>
    </xf>
    <xf numFmtId="3" fontId="33" fillId="0" borderId="25" xfId="51" applyNumberFormat="1" applyFont="1" applyFill="1" applyBorder="1" applyAlignment="1">
      <alignment vertical="center" wrapText="1"/>
    </xf>
    <xf numFmtId="3" fontId="33" fillId="29" borderId="29" xfId="51" applyNumberFormat="1" applyFont="1" applyFill="1" applyBorder="1" applyAlignment="1">
      <alignment vertical="center" wrapText="1"/>
    </xf>
    <xf numFmtId="3" fontId="33" fillId="0" borderId="50" xfId="51" applyNumberFormat="1" applyFont="1" applyFill="1" applyBorder="1" applyAlignment="1">
      <alignment vertical="center" wrapText="1"/>
    </xf>
    <xf numFmtId="4" fontId="33" fillId="0" borderId="29" xfId="51" applyNumberFormat="1" applyFont="1" applyFill="1" applyBorder="1" applyAlignment="1">
      <alignment vertical="center" wrapText="1"/>
    </xf>
    <xf numFmtId="3" fontId="33" fillId="29" borderId="35" xfId="51" applyNumberFormat="1" applyFont="1" applyFill="1" applyBorder="1" applyAlignment="1">
      <alignment vertical="center" wrapText="1"/>
    </xf>
    <xf numFmtId="3" fontId="33" fillId="29" borderId="15" xfId="51" applyNumberFormat="1" applyFont="1" applyFill="1" applyBorder="1" applyAlignment="1">
      <alignment vertical="center" wrapText="1"/>
    </xf>
    <xf numFmtId="3" fontId="33" fillId="0" borderId="35" xfId="51" applyNumberFormat="1" applyFont="1" applyFill="1" applyBorder="1" applyAlignment="1">
      <alignment vertical="center" wrapText="1"/>
    </xf>
    <xf numFmtId="3" fontId="33" fillId="29" borderId="11" xfId="51" applyNumberFormat="1" applyFont="1" applyFill="1" applyBorder="1" applyAlignment="1">
      <alignment vertical="center" wrapText="1"/>
    </xf>
    <xf numFmtId="0" fontId="4" fillId="24" borderId="28" xfId="0" applyFont="1" applyFill="1" applyBorder="1" applyAlignment="1">
      <alignment horizontal="center" vertical="top"/>
    </xf>
    <xf numFmtId="0" fontId="36" fillId="0" borderId="41" xfId="0" applyFont="1" applyFill="1" applyBorder="1" applyAlignment="1">
      <alignment horizontal="center" vertical="center" wrapText="1"/>
    </xf>
    <xf numFmtId="0" fontId="33" fillId="0" borderId="41" xfId="0" applyFont="1" applyFill="1" applyBorder="1" applyAlignment="1">
      <alignment horizontal="left" vertical="center"/>
    </xf>
    <xf numFmtId="3" fontId="33" fillId="0" borderId="41" xfId="51" applyNumberFormat="1" applyFont="1" applyFill="1" applyBorder="1" applyAlignment="1">
      <alignment vertical="center" wrapText="1"/>
    </xf>
    <xf numFmtId="0" fontId="36" fillId="0" borderId="0" xfId="0" applyFont="1" applyFill="1" applyBorder="1" applyAlignment="1">
      <alignment horizontal="center" vertical="center" wrapText="1"/>
    </xf>
    <xf numFmtId="3" fontId="33" fillId="0" borderId="0" xfId="51" applyNumberFormat="1" applyFont="1" applyFill="1" applyBorder="1" applyAlignment="1">
      <alignment vertical="center" wrapText="1"/>
    </xf>
    <xf numFmtId="0" fontId="4" fillId="0" borderId="0" xfId="0" applyFont="1" applyFill="1" applyBorder="1">
      <alignment vertical="top"/>
    </xf>
    <xf numFmtId="4" fontId="33" fillId="0" borderId="0" xfId="51" applyNumberFormat="1" applyFont="1" applyFill="1" applyBorder="1" applyAlignment="1">
      <alignment vertical="center" wrapText="1"/>
    </xf>
    <xf numFmtId="0" fontId="31" fillId="35" borderId="37" xfId="0" applyFont="1" applyFill="1" applyBorder="1" applyAlignment="1">
      <alignment horizontal="left" vertical="center"/>
    </xf>
    <xf numFmtId="9" fontId="31" fillId="35" borderId="38" xfId="55" applyFont="1" applyFill="1" applyBorder="1" applyAlignment="1">
      <alignment vertical="center"/>
    </xf>
    <xf numFmtId="0" fontId="33" fillId="0" borderId="45" xfId="0" applyFont="1" applyFill="1" applyBorder="1" applyAlignment="1">
      <alignment horizontal="left" vertical="center"/>
    </xf>
    <xf numFmtId="3" fontId="33" fillId="0" borderId="52" xfId="51" applyNumberFormat="1" applyFont="1" applyFill="1" applyBorder="1" applyAlignment="1">
      <alignment vertical="center" wrapText="1"/>
    </xf>
    <xf numFmtId="3" fontId="33" fillId="0" borderId="30" xfId="51" applyNumberFormat="1" applyFont="1" applyFill="1" applyBorder="1" applyAlignment="1">
      <alignment vertical="center" wrapText="1"/>
    </xf>
    <xf numFmtId="0" fontId="33" fillId="0" borderId="22" xfId="0" applyFont="1" applyFill="1" applyBorder="1" applyAlignment="1">
      <alignment horizontal="left" vertical="center"/>
    </xf>
    <xf numFmtId="3" fontId="33" fillId="0" borderId="16" xfId="0" applyNumberFormat="1" applyFont="1" applyFill="1" applyBorder="1" applyAlignment="1">
      <alignment vertical="center"/>
    </xf>
    <xf numFmtId="0" fontId="4" fillId="28" borderId="0" xfId="0" applyFont="1" applyFill="1">
      <alignment vertical="top"/>
    </xf>
    <xf numFmtId="0" fontId="35" fillId="28" borderId="0" xfId="0" applyFont="1" applyFill="1" applyAlignment="1">
      <alignment horizontal="center" vertical="top"/>
    </xf>
    <xf numFmtId="0" fontId="4" fillId="28" borderId="0" xfId="0" applyFont="1" applyFill="1" applyBorder="1">
      <alignment vertical="top"/>
    </xf>
    <xf numFmtId="0" fontId="36" fillId="34" borderId="45" xfId="0" applyFont="1" applyFill="1" applyBorder="1" applyAlignment="1">
      <alignment horizontal="center" vertical="center" wrapText="1"/>
    </xf>
    <xf numFmtId="0" fontId="4" fillId="24" borderId="41" xfId="0" applyFont="1" applyFill="1" applyBorder="1">
      <alignment vertical="top"/>
    </xf>
    <xf numFmtId="0" fontId="33" fillId="33" borderId="32" xfId="0" applyFont="1" applyFill="1" applyBorder="1" applyAlignment="1">
      <alignment horizontal="left" vertical="center"/>
    </xf>
    <xf numFmtId="3" fontId="33" fillId="28" borderId="17" xfId="0" applyNumberFormat="1" applyFont="1" applyFill="1" applyBorder="1" applyAlignment="1">
      <alignment vertical="center"/>
    </xf>
    <xf numFmtId="3" fontId="33" fillId="0" borderId="17" xfId="51" applyNumberFormat="1" applyFont="1" applyFill="1" applyBorder="1" applyAlignment="1">
      <alignment vertical="center" wrapText="1"/>
    </xf>
    <xf numFmtId="171" fontId="3" fillId="31" borderId="11" xfId="0" applyNumberFormat="1" applyFont="1" applyFill="1" applyBorder="1" applyAlignment="1">
      <alignment horizontal="center" vertical="center"/>
    </xf>
    <xf numFmtId="3" fontId="33" fillId="29" borderId="42" xfId="51" applyNumberFormat="1" applyFont="1" applyFill="1" applyBorder="1" applyAlignment="1">
      <alignment vertical="center" wrapText="1"/>
    </xf>
    <xf numFmtId="3" fontId="33" fillId="0" borderId="53" xfId="51" applyNumberFormat="1" applyFont="1" applyFill="1" applyBorder="1" applyAlignment="1">
      <alignment vertical="center" wrapText="1"/>
    </xf>
    <xf numFmtId="3" fontId="33" fillId="0" borderId="49" xfId="51" applyNumberFormat="1" applyFont="1" applyFill="1" applyBorder="1" applyAlignment="1">
      <alignment vertical="center" wrapText="1"/>
    </xf>
    <xf numFmtId="9" fontId="33" fillId="0" borderId="0" xfId="56" applyFont="1" applyFill="1" applyBorder="1"/>
    <xf numFmtId="0" fontId="31" fillId="0" borderId="0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/>
    </xf>
    <xf numFmtId="0" fontId="34" fillId="0" borderId="0" xfId="0" applyFont="1" applyFill="1" applyBorder="1" applyAlignment="1">
      <alignment horizontal="left"/>
    </xf>
    <xf numFmtId="0" fontId="31" fillId="0" borderId="0" xfId="0" applyFont="1" applyFill="1" applyBorder="1" applyAlignment="1"/>
    <xf numFmtId="43" fontId="33" fillId="0" borderId="0" xfId="56" applyNumberFormat="1" applyFont="1" applyFill="1" applyBorder="1"/>
    <xf numFmtId="0" fontId="33" fillId="0" borderId="0" xfId="0" applyFont="1" applyFill="1" applyBorder="1" applyAlignment="1">
      <alignment vertical="center"/>
    </xf>
    <xf numFmtId="172" fontId="33" fillId="0" borderId="0" xfId="28" applyNumberFormat="1" applyFont="1" applyFill="1" applyBorder="1" applyAlignment="1"/>
    <xf numFmtId="0" fontId="0" fillId="0" borderId="0" xfId="0" applyFill="1" applyBorder="1" applyAlignment="1">
      <alignment vertical="center"/>
    </xf>
    <xf numFmtId="0" fontId="33" fillId="0" borderId="0" xfId="0" applyFont="1" applyFill="1" applyBorder="1" applyAlignment="1">
      <alignment vertical="center" wrapText="1"/>
    </xf>
    <xf numFmtId="0" fontId="33" fillId="0" borderId="0" xfId="0" applyFont="1" applyFill="1" applyBorder="1" applyAlignment="1">
      <alignment horizontal="center" vertical="center" wrapText="1"/>
    </xf>
    <xf numFmtId="0" fontId="31" fillId="0" borderId="0" xfId="0" applyFont="1" applyFill="1" applyBorder="1" applyAlignment="1">
      <alignment vertical="center"/>
    </xf>
    <xf numFmtId="0" fontId="32" fillId="0" borderId="0" xfId="0" applyNumberFormat="1" applyFont="1" applyFill="1" applyBorder="1" applyAlignment="1">
      <alignment horizontal="center" vertical="center" wrapText="1" shrinkToFit="1"/>
    </xf>
    <xf numFmtId="3" fontId="33" fillId="0" borderId="23" xfId="51" applyNumberFormat="1" applyFont="1" applyFill="1" applyBorder="1" applyAlignment="1">
      <alignment vertical="center" wrapText="1"/>
    </xf>
    <xf numFmtId="0" fontId="36" fillId="34" borderId="43" xfId="0" applyFont="1" applyFill="1" applyBorder="1" applyAlignment="1">
      <alignment horizontal="center" vertical="center" wrapText="1"/>
    </xf>
    <xf numFmtId="0" fontId="33" fillId="0" borderId="43" xfId="0" applyFont="1" applyFill="1" applyBorder="1" applyAlignment="1">
      <alignment horizontal="left" vertical="center"/>
    </xf>
    <xf numFmtId="3" fontId="33" fillId="0" borderId="38" xfId="51" applyNumberFormat="1" applyFont="1" applyFill="1" applyBorder="1" applyAlignment="1">
      <alignment vertical="center" wrapText="1"/>
    </xf>
    <xf numFmtId="3" fontId="33" fillId="0" borderId="51" xfId="51" applyNumberFormat="1" applyFont="1" applyFill="1" applyBorder="1" applyAlignment="1">
      <alignment vertical="center" wrapText="1"/>
    </xf>
    <xf numFmtId="3" fontId="33" fillId="0" borderId="11" xfId="51" applyNumberFormat="1" applyFont="1" applyFill="1" applyBorder="1" applyAlignment="1">
      <alignment vertical="center" wrapText="1"/>
    </xf>
    <xf numFmtId="3" fontId="33" fillId="29" borderId="17" xfId="51" applyNumberFormat="1" applyFont="1" applyFill="1" applyBorder="1" applyAlignment="1">
      <alignment vertical="center" wrapText="1"/>
    </xf>
    <xf numFmtId="4" fontId="33" fillId="0" borderId="42" xfId="51" applyNumberFormat="1" applyFont="1" applyFill="1" applyBorder="1" applyAlignment="1">
      <alignment vertical="center" wrapText="1"/>
    </xf>
    <xf numFmtId="165" fontId="33" fillId="28" borderId="31" xfId="0" applyNumberFormat="1" applyFont="1" applyFill="1" applyBorder="1" applyAlignment="1">
      <alignment vertical="center"/>
    </xf>
    <xf numFmtId="3" fontId="33" fillId="28" borderId="32" xfId="0" applyNumberFormat="1" applyFont="1" applyFill="1" applyBorder="1" applyAlignment="1">
      <alignment vertical="center"/>
    </xf>
    <xf numFmtId="3" fontId="33" fillId="0" borderId="32" xfId="0" applyNumberFormat="1" applyFont="1" applyFill="1" applyBorder="1" applyAlignment="1">
      <alignment vertical="center"/>
    </xf>
    <xf numFmtId="169" fontId="33" fillId="0" borderId="32" xfId="0" applyNumberFormat="1" applyFont="1" applyFill="1" applyBorder="1" applyAlignment="1">
      <alignment vertical="center"/>
    </xf>
    <xf numFmtId="170" fontId="33" fillId="0" borderId="32" xfId="51" applyNumberFormat="1" applyFont="1" applyFill="1" applyBorder="1" applyAlignment="1">
      <alignment vertical="center" wrapText="1"/>
    </xf>
    <xf numFmtId="4" fontId="33" fillId="27" borderId="32" xfId="51" applyNumberFormat="1" applyFont="1" applyFill="1" applyBorder="1" applyAlignment="1">
      <alignment vertical="center" wrapText="1"/>
    </xf>
    <xf numFmtId="3" fontId="33" fillId="29" borderId="34" xfId="51" applyNumberFormat="1" applyFont="1" applyFill="1" applyBorder="1" applyAlignment="1">
      <alignment vertical="center" wrapText="1"/>
    </xf>
    <xf numFmtId="1" fontId="33" fillId="24" borderId="10" xfId="0" applyNumberFormat="1" applyFont="1" applyFill="1" applyBorder="1" applyAlignment="1">
      <alignment vertical="center"/>
    </xf>
    <xf numFmtId="3" fontId="33" fillId="29" borderId="25" xfId="51" applyNumberFormat="1" applyFont="1" applyFill="1" applyBorder="1" applyAlignment="1">
      <alignment vertical="center" wrapText="1"/>
    </xf>
    <xf numFmtId="3" fontId="33" fillId="0" borderId="54" xfId="51" applyNumberFormat="1" applyFont="1" applyFill="1" applyBorder="1" applyAlignment="1">
      <alignment vertical="center" wrapText="1"/>
    </xf>
    <xf numFmtId="3" fontId="33" fillId="29" borderId="55" xfId="51" applyNumberFormat="1" applyFont="1" applyFill="1" applyBorder="1" applyAlignment="1">
      <alignment vertical="center" wrapText="1"/>
    </xf>
    <xf numFmtId="3" fontId="33" fillId="29" borderId="19" xfId="51" applyNumberFormat="1" applyFont="1" applyFill="1" applyBorder="1" applyAlignment="1">
      <alignment vertical="center" wrapText="1"/>
    </xf>
    <xf numFmtId="169" fontId="33" fillId="0" borderId="15" xfId="0" applyNumberFormat="1" applyFont="1" applyFill="1" applyBorder="1" applyAlignment="1">
      <alignment vertical="center"/>
    </xf>
    <xf numFmtId="169" fontId="33" fillId="0" borderId="17" xfId="0" applyNumberFormat="1" applyFont="1" applyFill="1" applyBorder="1" applyAlignment="1">
      <alignment vertical="center"/>
    </xf>
    <xf numFmtId="0" fontId="3" fillId="31" borderId="43" xfId="0" applyFont="1" applyFill="1" applyBorder="1" applyAlignment="1">
      <alignment vertical="center"/>
    </xf>
    <xf numFmtId="0" fontId="3" fillId="31" borderId="12" xfId="0" applyFont="1" applyFill="1" applyBorder="1" applyAlignment="1">
      <alignment vertical="center"/>
    </xf>
    <xf numFmtId="9" fontId="33" fillId="0" borderId="16" xfId="55" applyFont="1" applyFill="1" applyBorder="1" applyAlignment="1">
      <alignment horizontal="center" vertical="center"/>
    </xf>
    <xf numFmtId="9" fontId="33" fillId="0" borderId="26" xfId="55" applyFont="1" applyFill="1" applyBorder="1" applyAlignment="1">
      <alignment horizontal="center" vertical="center"/>
    </xf>
    <xf numFmtId="9" fontId="33" fillId="0" borderId="23" xfId="55" applyFont="1" applyFill="1" applyBorder="1" applyAlignment="1">
      <alignment horizontal="center" vertical="center"/>
    </xf>
    <xf numFmtId="9" fontId="33" fillId="0" borderId="22" xfId="55" applyFont="1" applyFill="1" applyBorder="1" applyAlignment="1">
      <alignment horizontal="center" vertical="center"/>
    </xf>
    <xf numFmtId="9" fontId="33" fillId="0" borderId="10" xfId="55" applyFont="1" applyFill="1" applyBorder="1" applyAlignment="1">
      <alignment horizontal="center" vertical="center"/>
    </xf>
    <xf numFmtId="9" fontId="33" fillId="0" borderId="10" xfId="56" applyFont="1" applyFill="1" applyBorder="1" applyAlignment="1">
      <alignment horizontal="center" vertical="center"/>
    </xf>
    <xf numFmtId="9" fontId="33" fillId="0" borderId="25" xfId="56" applyFont="1" applyFill="1" applyBorder="1" applyAlignment="1">
      <alignment horizontal="center" vertical="center"/>
    </xf>
    <xf numFmtId="9" fontId="33" fillId="0" borderId="17" xfId="56" applyFont="1" applyFill="1" applyBorder="1" applyAlignment="1">
      <alignment horizontal="center" vertical="center"/>
    </xf>
    <xf numFmtId="9" fontId="33" fillId="0" borderId="15" xfId="56" applyFont="1" applyFill="1" applyBorder="1" applyAlignment="1">
      <alignment horizontal="center" vertical="center"/>
    </xf>
    <xf numFmtId="4" fontId="33" fillId="0" borderId="10" xfId="28" applyNumberFormat="1" applyFont="1" applyFill="1" applyBorder="1" applyAlignment="1">
      <alignment horizontal="center" vertical="center"/>
    </xf>
    <xf numFmtId="4" fontId="33" fillId="0" borderId="25" xfId="28" applyNumberFormat="1" applyFont="1" applyFill="1" applyBorder="1" applyAlignment="1">
      <alignment horizontal="center" vertical="center"/>
    </xf>
    <xf numFmtId="4" fontId="33" fillId="0" borderId="17" xfId="28" applyNumberFormat="1" applyFont="1" applyFill="1" applyBorder="1" applyAlignment="1">
      <alignment horizontal="center" vertical="center"/>
    </xf>
    <xf numFmtId="4" fontId="33" fillId="0" borderId="15" xfId="28" applyNumberFormat="1" applyFont="1" applyFill="1" applyBorder="1" applyAlignment="1">
      <alignment horizontal="center" vertical="center"/>
    </xf>
    <xf numFmtId="4" fontId="33" fillId="32" borderId="20" xfId="28" applyNumberFormat="1" applyFont="1" applyFill="1" applyBorder="1" applyAlignment="1">
      <alignment horizontal="center" vertical="center"/>
    </xf>
    <xf numFmtId="4" fontId="33" fillId="32" borderId="29" xfId="28" applyNumberFormat="1" applyFont="1" applyFill="1" applyBorder="1" applyAlignment="1">
      <alignment horizontal="center" vertical="center"/>
    </xf>
    <xf numFmtId="4" fontId="33" fillId="32" borderId="42" xfId="28" applyNumberFormat="1" applyFont="1" applyFill="1" applyBorder="1" applyAlignment="1">
      <alignment horizontal="center" vertical="center"/>
    </xf>
    <xf numFmtId="4" fontId="33" fillId="32" borderId="35" xfId="28" applyNumberFormat="1" applyFont="1" applyFill="1" applyBorder="1" applyAlignment="1">
      <alignment horizontal="center" vertical="center"/>
    </xf>
    <xf numFmtId="3" fontId="33" fillId="33" borderId="10" xfId="28" applyNumberFormat="1" applyFont="1" applyFill="1" applyBorder="1" applyAlignment="1">
      <alignment horizontal="center" vertical="center"/>
    </xf>
    <xf numFmtId="3" fontId="33" fillId="33" borderId="25" xfId="28" applyNumberFormat="1" applyFont="1" applyFill="1" applyBorder="1" applyAlignment="1">
      <alignment horizontal="center" vertical="center"/>
    </xf>
    <xf numFmtId="3" fontId="33" fillId="33" borderId="17" xfId="28" applyNumberFormat="1" applyFont="1" applyFill="1" applyBorder="1" applyAlignment="1">
      <alignment horizontal="center" vertical="center"/>
    </xf>
    <xf numFmtId="3" fontId="33" fillId="0" borderId="10" xfId="28" applyNumberFormat="1" applyFont="1" applyFill="1" applyBorder="1" applyAlignment="1">
      <alignment horizontal="center" vertical="center"/>
    </xf>
    <xf numFmtId="3" fontId="33" fillId="0" borderId="25" xfId="28" applyNumberFormat="1" applyFont="1" applyFill="1" applyBorder="1" applyAlignment="1">
      <alignment horizontal="center" vertical="center"/>
    </xf>
    <xf numFmtId="3" fontId="33" fillId="0" borderId="17" xfId="28" applyNumberFormat="1" applyFont="1" applyFill="1" applyBorder="1" applyAlignment="1">
      <alignment horizontal="center" vertical="center"/>
    </xf>
    <xf numFmtId="3" fontId="33" fillId="29" borderId="10" xfId="28" applyNumberFormat="1" applyFont="1" applyFill="1" applyBorder="1" applyAlignment="1">
      <alignment horizontal="center" vertical="center"/>
    </xf>
    <xf numFmtId="3" fontId="33" fillId="29" borderId="25" xfId="28" applyNumberFormat="1" applyFont="1" applyFill="1" applyBorder="1" applyAlignment="1">
      <alignment horizontal="center" vertical="center"/>
    </xf>
    <xf numFmtId="3" fontId="33" fillId="29" borderId="17" xfId="28" applyNumberFormat="1" applyFont="1" applyFill="1" applyBorder="1" applyAlignment="1">
      <alignment horizontal="center" vertical="center"/>
    </xf>
    <xf numFmtId="3" fontId="33" fillId="33" borderId="15" xfId="28" applyNumberFormat="1" applyFont="1" applyFill="1" applyBorder="1" applyAlignment="1">
      <alignment horizontal="center" vertical="center"/>
    </xf>
    <xf numFmtId="3" fontId="33" fillId="0" borderId="15" xfId="28" applyNumberFormat="1" applyFont="1" applyFill="1" applyBorder="1" applyAlignment="1">
      <alignment horizontal="center" vertical="center"/>
    </xf>
    <xf numFmtId="3" fontId="33" fillId="29" borderId="15" xfId="28" applyNumberFormat="1" applyFont="1" applyFill="1" applyBorder="1" applyAlignment="1">
      <alignment horizontal="center" vertical="center"/>
    </xf>
    <xf numFmtId="0" fontId="36" fillId="34" borderId="30" xfId="0" applyFont="1" applyFill="1" applyBorder="1" applyAlignment="1">
      <alignment horizontal="center" vertical="center" wrapText="1"/>
    </xf>
    <xf numFmtId="0" fontId="36" fillId="34" borderId="40" xfId="0" applyFont="1" applyFill="1" applyBorder="1" applyAlignment="1">
      <alignment horizontal="center" vertical="center" wrapText="1"/>
    </xf>
    <xf numFmtId="0" fontId="32" fillId="30" borderId="30" xfId="0" applyFont="1" applyFill="1" applyBorder="1" applyAlignment="1">
      <alignment horizontal="center" vertical="center" wrapText="1"/>
    </xf>
    <xf numFmtId="0" fontId="32" fillId="30" borderId="40" xfId="0" applyFont="1" applyFill="1" applyBorder="1" applyAlignment="1">
      <alignment horizontal="center" vertical="center" wrapText="1"/>
    </xf>
    <xf numFmtId="0" fontId="32" fillId="30" borderId="18" xfId="0" applyFont="1" applyFill="1" applyBorder="1" applyAlignment="1">
      <alignment horizontal="center" vertical="center" wrapText="1"/>
    </xf>
    <xf numFmtId="0" fontId="32" fillId="30" borderId="30" xfId="0" applyNumberFormat="1" applyFont="1" applyFill="1" applyBorder="1" applyAlignment="1">
      <alignment horizontal="center" vertical="center" wrapText="1" shrinkToFit="1"/>
    </xf>
    <xf numFmtId="0" fontId="32" fillId="30" borderId="40" xfId="0" applyNumberFormat="1" applyFont="1" applyFill="1" applyBorder="1" applyAlignment="1">
      <alignment horizontal="center" vertical="center" wrapText="1" shrinkToFit="1"/>
    </xf>
    <xf numFmtId="0" fontId="32" fillId="30" borderId="18" xfId="0" applyNumberFormat="1" applyFont="1" applyFill="1" applyBorder="1" applyAlignment="1">
      <alignment horizontal="center" vertical="center" wrapText="1" shrinkToFit="1"/>
    </xf>
    <xf numFmtId="0" fontId="36" fillId="0" borderId="22" xfId="0" applyFont="1" applyFill="1" applyBorder="1" applyAlignment="1">
      <alignment horizontal="center" vertical="center" wrapText="1"/>
    </xf>
    <xf numFmtId="0" fontId="36" fillId="0" borderId="15" xfId="0" applyFont="1" applyFill="1" applyBorder="1" applyAlignment="1">
      <alignment horizontal="center" vertical="center" wrapText="1"/>
    </xf>
    <xf numFmtId="0" fontId="36" fillId="0" borderId="35" xfId="0" applyFont="1" applyFill="1" applyBorder="1" applyAlignment="1">
      <alignment horizontal="center" vertical="center" wrapText="1"/>
    </xf>
    <xf numFmtId="0" fontId="36" fillId="0" borderId="30" xfId="0" applyFont="1" applyFill="1" applyBorder="1" applyAlignment="1">
      <alignment horizontal="center" vertical="center" wrapText="1"/>
    </xf>
    <xf numFmtId="0" fontId="36" fillId="0" borderId="40" xfId="0" applyFont="1" applyFill="1" applyBorder="1" applyAlignment="1">
      <alignment horizontal="center" vertical="center" wrapText="1"/>
    </xf>
    <xf numFmtId="0" fontId="36" fillId="0" borderId="18" xfId="0" applyFont="1" applyFill="1" applyBorder="1" applyAlignment="1">
      <alignment horizontal="center" vertical="center" wrapText="1"/>
    </xf>
    <xf numFmtId="0" fontId="31" fillId="26" borderId="30" xfId="0" applyFont="1" applyFill="1" applyBorder="1" applyAlignment="1">
      <alignment horizontal="center" vertical="center" wrapText="1"/>
    </xf>
    <xf numFmtId="0" fontId="31" fillId="26" borderId="40" xfId="0" applyFont="1" applyFill="1" applyBorder="1" applyAlignment="1">
      <alignment horizontal="center" vertical="center" wrapText="1"/>
    </xf>
    <xf numFmtId="0" fontId="32" fillId="0" borderId="45" xfId="0" applyFont="1" applyBorder="1" applyAlignment="1">
      <alignment horizontal="center" vertical="center"/>
    </xf>
    <xf numFmtId="0" fontId="32" fillId="0" borderId="27" xfId="0" applyFont="1" applyBorder="1" applyAlignment="1">
      <alignment horizontal="center" vertical="center"/>
    </xf>
    <xf numFmtId="0" fontId="32" fillId="0" borderId="44" xfId="0" applyFont="1" applyBorder="1" applyAlignment="1">
      <alignment horizontal="center" vertical="center"/>
    </xf>
    <xf numFmtId="0" fontId="32" fillId="0" borderId="41" xfId="0" applyFont="1" applyBorder="1" applyAlignment="1">
      <alignment horizontal="center" vertical="center"/>
    </xf>
    <xf numFmtId="0" fontId="32" fillId="0" borderId="0" xfId="0" applyFont="1" applyBorder="1" applyAlignment="1">
      <alignment horizontal="center" vertical="center"/>
    </xf>
    <xf numFmtId="0" fontId="32" fillId="0" borderId="19" xfId="0" applyFont="1" applyBorder="1" applyAlignment="1">
      <alignment horizontal="center" vertical="center"/>
    </xf>
  </cellXfs>
  <cellStyles count="67">
    <cellStyle name="20% - Accent1 2" xfId="1"/>
    <cellStyle name="20% - Accent2 2" xfId="2"/>
    <cellStyle name="20% - Accent3 2" xfId="3"/>
    <cellStyle name="20% - Accent4 2" xfId="4"/>
    <cellStyle name="20% - Accent5 2" xfId="5"/>
    <cellStyle name="20% - Accent6 2" xfId="6"/>
    <cellStyle name="40% - Accent1 2" xfId="7"/>
    <cellStyle name="40% - Accent2 2" xfId="8"/>
    <cellStyle name="40% - Accent3 2" xfId="9"/>
    <cellStyle name="40% - Accent4 2" xfId="10"/>
    <cellStyle name="40% - Accent5 2" xfId="11"/>
    <cellStyle name="40% - Accent6 2" xfId="12"/>
    <cellStyle name="60% - Accent1 2" xfId="13"/>
    <cellStyle name="60% - Accent2 2" xfId="14"/>
    <cellStyle name="60% - Accent3 2" xfId="15"/>
    <cellStyle name="60% - Accent4 2" xfId="16"/>
    <cellStyle name="60% - Accent5 2" xfId="17"/>
    <cellStyle name="60% - Accent6 2" xfId="18"/>
    <cellStyle name="Accent1 2" xfId="19"/>
    <cellStyle name="Accent2 2" xfId="20"/>
    <cellStyle name="Accent3 2" xfId="21"/>
    <cellStyle name="Accent4 2" xfId="22"/>
    <cellStyle name="Accent5 2" xfId="23"/>
    <cellStyle name="Accent6 2" xfId="24"/>
    <cellStyle name="Bad 2" xfId="25"/>
    <cellStyle name="Calculation 2" xfId="26"/>
    <cellStyle name="Check Cell 2" xfId="27"/>
    <cellStyle name="Comma" xfId="28" builtinId="3"/>
    <cellStyle name="Currency 2" xfId="29"/>
    <cellStyle name="Currency 3" xfId="30"/>
    <cellStyle name="Explanatory Text 2" xfId="31"/>
    <cellStyle name="Good 2" xfId="32"/>
    <cellStyle name="Heading 1 2" xfId="33"/>
    <cellStyle name="Heading 2 2" xfId="34"/>
    <cellStyle name="Heading 3 2" xfId="35"/>
    <cellStyle name="Heading 4 2" xfId="36"/>
    <cellStyle name="Input 2" xfId="37"/>
    <cellStyle name="Linked Cell 2" xfId="38"/>
    <cellStyle name="Neutral 2" xfId="39"/>
    <cellStyle name="Normal" xfId="0" builtinId="0"/>
    <cellStyle name="Normal 2" xfId="40"/>
    <cellStyle name="Normal 2 2" xfId="41"/>
    <cellStyle name="Normal 3" xfId="42"/>
    <cellStyle name="Normal 4" xfId="43"/>
    <cellStyle name="Normal 4 2" xfId="44"/>
    <cellStyle name="Normal 5" xfId="45"/>
    <cellStyle name="Normal 6" xfId="46"/>
    <cellStyle name="Normal 7" xfId="47"/>
    <cellStyle name="Normal 8" xfId="48"/>
    <cellStyle name="Normal 9" xfId="49"/>
    <cellStyle name="Normal 9 2" xfId="50"/>
    <cellStyle name="Normal_smv and Efficiency summery(Mar.8th)_B82F &amp; YTPI daily prod performance- updated for month of Jan 2010_2011YTI各生产部车缝日产量，效率一览表" xfId="51"/>
    <cellStyle name="Note 2" xfId="52"/>
    <cellStyle name="Note 3" xfId="53"/>
    <cellStyle name="Output 2" xfId="54"/>
    <cellStyle name="Percent" xfId="55" builtinId="5"/>
    <cellStyle name="Percent 2" xfId="56"/>
    <cellStyle name="Percent 3" xfId="57"/>
    <cellStyle name="Percent 3 2" xfId="58"/>
    <cellStyle name="Percent 4" xfId="59"/>
    <cellStyle name="Percent 5" xfId="60"/>
    <cellStyle name="Percent 6" xfId="61"/>
    <cellStyle name="Style 1" xfId="62"/>
    <cellStyle name="Title 2" xfId="63"/>
    <cellStyle name="Total 2" xfId="64"/>
    <cellStyle name="Warning Text 2" xfId="65"/>
    <cellStyle name="常规_2002年十月生产效率报表" xfId="66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[BS3]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1731640014388056"/>
          <c:y val="0.1600034989697198"/>
          <c:w val="0.61984848785750168"/>
          <c:h val="0.67617256500273926"/>
        </c:manualLayout>
      </c:layout>
      <c:lineChart>
        <c:grouping val="standard"/>
        <c:varyColors val="0"/>
        <c:ser>
          <c:idx val="0"/>
          <c:order val="0"/>
          <c:tx>
            <c:strRef>
              <c:f>OVERALL!$C$44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OVERALL!$D$44:$O$44</c:f>
              <c:numCache>
                <c:formatCode>0.0%</c:formatCode>
                <c:ptCount val="12"/>
                <c:pt idx="0">
                  <c:v>0.58446519264326291</c:v>
                </c:pt>
                <c:pt idx="1">
                  <c:v>0.65823023144685444</c:v>
                </c:pt>
                <c:pt idx="2">
                  <c:v>0.57493314217304825</c:v>
                </c:pt>
                <c:pt idx="3">
                  <c:v>0.52687854488558572</c:v>
                </c:pt>
                <c:pt idx="4">
                  <c:v>0.59094510712548987</c:v>
                </c:pt>
                <c:pt idx="5">
                  <c:v>0.56342143431136193</c:v>
                </c:pt>
                <c:pt idx="6">
                  <c:v>0.56215673320119852</c:v>
                </c:pt>
                <c:pt idx="7">
                  <c:v>0.59583427878022555</c:v>
                </c:pt>
                <c:pt idx="8">
                  <c:v>0.60419979262225021</c:v>
                </c:pt>
                <c:pt idx="9">
                  <c:v>0.53807024713220153</c:v>
                </c:pt>
                <c:pt idx="10">
                  <c:v>0.5871483923622054</c:v>
                </c:pt>
                <c:pt idx="11">
                  <c:v>0.57372753865440862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OVERALL!$C$51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OVERALL!$D$51:$O$51</c:f>
              <c:numCache>
                <c:formatCode>0.000;_됀</c:formatCode>
                <c:ptCount val="12"/>
                <c:pt idx="0">
                  <c:v>0.41510285408812891</c:v>
                </c:pt>
                <c:pt idx="1">
                  <c:v>0.40680286770159163</c:v>
                </c:pt>
                <c:pt idx="2">
                  <c:v>0.38720602913633967</c:v>
                </c:pt>
                <c:pt idx="3">
                  <c:v>0.37272197113281819</c:v>
                </c:pt>
                <c:pt idx="4">
                  <c:v>0.47570199737571073</c:v>
                </c:pt>
                <c:pt idx="5">
                  <c:v>0.53902520965789158</c:v>
                </c:pt>
                <c:pt idx="6">
                  <c:v>0.56017360682763806</c:v>
                </c:pt>
                <c:pt idx="7">
                  <c:v>0.56838852938867512</c:v>
                </c:pt>
                <c:pt idx="8">
                  <c:v>0.54075120279924183</c:v>
                </c:pt>
                <c:pt idx="9">
                  <c:v>0.55678670360110805</c:v>
                </c:pt>
                <c:pt idx="10">
                  <c:v>0.57132963988919672</c:v>
                </c:pt>
                <c:pt idx="11">
                  <c:v>0.61495844875346262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21008"/>
        <c:axId val="489822576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'[1]2013 Overall'!$D$3:$H$3</c:f>
              <c:numCache>
                <c:formatCode>General</c:formatCode>
                <c:ptCount val="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</c:numCache>
            </c:numRef>
          </c:cat>
          <c:val>
            <c:numRef>
              <c:f>OVERALL!$D$56:$O$56</c:f>
              <c:numCache>
                <c:formatCode>#,##0</c:formatCode>
                <c:ptCount val="12"/>
                <c:pt idx="0">
                  <c:v>88.610238095238103</c:v>
                </c:pt>
                <c:pt idx="1">
                  <c:v>95.10060869565217</c:v>
                </c:pt>
                <c:pt idx="2">
                  <c:v>68.263153846153855</c:v>
                </c:pt>
                <c:pt idx="3">
                  <c:v>77.972499999999997</c:v>
                </c:pt>
                <c:pt idx="4">
                  <c:v>119.89912</c:v>
                </c:pt>
                <c:pt idx="5">
                  <c:v>115.63026086956522</c:v>
                </c:pt>
                <c:pt idx="6">
                  <c:v>124.58788461538461</c:v>
                </c:pt>
                <c:pt idx="7">
                  <c:v>147.96880769230768</c:v>
                </c:pt>
                <c:pt idx="8">
                  <c:v>134.31890000000001</c:v>
                </c:pt>
                <c:pt idx="9">
                  <c:v>106.29903703703704</c:v>
                </c:pt>
                <c:pt idx="10">
                  <c:v>97.384809523809523</c:v>
                </c:pt>
                <c:pt idx="11">
                  <c:v>99.894000000000005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823360"/>
        <c:axId val="480680712"/>
      </c:lineChart>
      <c:dateAx>
        <c:axId val="4898210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822576"/>
        <c:crosses val="autoZero"/>
        <c:auto val="1"/>
        <c:lblOffset val="100"/>
        <c:baseTimeUnit val="months"/>
      </c:dateAx>
      <c:valAx>
        <c:axId val="489822576"/>
        <c:scaling>
          <c:orientation val="minMax"/>
          <c:max val="0.85000000000000064"/>
          <c:min val="0.3500000000000003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1.5774080746224863E-2"/>
              <c:y val="0.4219303074210215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821008"/>
        <c:crosses val="autoZero"/>
        <c:crossBetween val="between"/>
      </c:valAx>
      <c:catAx>
        <c:axId val="4898233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680712"/>
        <c:crosses val="autoZero"/>
        <c:auto val="1"/>
        <c:lblAlgn val="ctr"/>
        <c:lblOffset val="100"/>
        <c:noMultiLvlLbl val="0"/>
      </c:catAx>
      <c:valAx>
        <c:axId val="4806807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day(US$ 000)</a:t>
                </a:r>
              </a:p>
            </c:rich>
          </c:tx>
          <c:layout>
            <c:manualLayout>
              <c:xMode val="edge"/>
              <c:yMode val="edge"/>
              <c:x val="0.79202323074320358"/>
              <c:y val="0.1778479716088251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982336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891561863493368"/>
          <c:y val="0.25834491360038081"/>
          <c:w val="0.16535358479581289"/>
          <c:h val="0.51307439278912104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[BS1+BS2] - Style data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652321585120267E-2"/>
          <c:y val="0.16071179432209295"/>
          <c:w val="0.59545581052075425"/>
          <c:h val="0.64813054153689365"/>
        </c:manualLayout>
      </c:layout>
      <c:lineChart>
        <c:grouping val="standard"/>
        <c:varyColors val="0"/>
        <c:ser>
          <c:idx val="0"/>
          <c:order val="0"/>
          <c:tx>
            <c:strRef>
              <c:f>OVERALL!$C$33</c:f>
              <c:strCache>
                <c:ptCount val="1"/>
                <c:pt idx="0">
                  <c:v>No. of Different Styles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OVERALL!$D$33:$O$33</c:f>
              <c:numCache>
                <c:formatCode>#,##0</c:formatCode>
                <c:ptCount val="12"/>
                <c:pt idx="0">
                  <c:v>93</c:v>
                </c:pt>
                <c:pt idx="1">
                  <c:v>89</c:v>
                </c:pt>
                <c:pt idx="2">
                  <c:v>71</c:v>
                </c:pt>
                <c:pt idx="3">
                  <c:v>84</c:v>
                </c:pt>
                <c:pt idx="4">
                  <c:v>104</c:v>
                </c:pt>
                <c:pt idx="5">
                  <c:v>91</c:v>
                </c:pt>
                <c:pt idx="6">
                  <c:v>105</c:v>
                </c:pt>
                <c:pt idx="7">
                  <c:v>89</c:v>
                </c:pt>
                <c:pt idx="8">
                  <c:v>92</c:v>
                </c:pt>
                <c:pt idx="9">
                  <c:v>113</c:v>
                </c:pt>
                <c:pt idx="10">
                  <c:v>72</c:v>
                </c:pt>
                <c:pt idx="11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OVERALL!$C$34</c:f>
              <c:strCache>
                <c:ptCount val="1"/>
                <c:pt idx="0">
                  <c:v>No. of Style Changeovers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OVERALL!$D$34:$O$34</c:f>
              <c:numCache>
                <c:formatCode>#,##0</c:formatCode>
                <c:ptCount val="12"/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76</c:v>
                </c:pt>
                <c:pt idx="5">
                  <c:v>45</c:v>
                </c:pt>
                <c:pt idx="6">
                  <c:v>65</c:v>
                </c:pt>
                <c:pt idx="7">
                  <c:v>39</c:v>
                </c:pt>
                <c:pt idx="8">
                  <c:v>45</c:v>
                </c:pt>
                <c:pt idx="9">
                  <c:v>74</c:v>
                </c:pt>
                <c:pt idx="10">
                  <c:v>40</c:v>
                </c:pt>
                <c:pt idx="1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20664"/>
        <c:axId val="602817528"/>
      </c:lineChart>
      <c:lineChart>
        <c:grouping val="standard"/>
        <c:varyColors val="0"/>
        <c:ser>
          <c:idx val="1"/>
          <c:order val="1"/>
          <c:tx>
            <c:strRef>
              <c:f>OVERALL!$C$35</c:f>
              <c:strCache>
                <c:ptCount val="1"/>
                <c:pt idx="0">
                  <c:v>Ave pieces per Style (000)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OVERALL!$D$35:$O$35</c:f>
              <c:numCache>
                <c:formatCode>#,##0</c:formatCode>
                <c:ptCount val="12"/>
                <c:pt idx="0">
                  <c:v>14.016645161290322</c:v>
                </c:pt>
                <c:pt idx="1">
                  <c:v>19.440764044943823</c:v>
                </c:pt>
                <c:pt idx="2">
                  <c:v>24.242732394366197</c:v>
                </c:pt>
                <c:pt idx="3">
                  <c:v>11.200880952380951</c:v>
                </c:pt>
                <c:pt idx="4">
                  <c:v>10.00475</c:v>
                </c:pt>
                <c:pt idx="5">
                  <c:v>13.304021978021977</c:v>
                </c:pt>
                <c:pt idx="6">
                  <c:v>9.8970952380952397</c:v>
                </c:pt>
                <c:pt idx="7">
                  <c:v>12.52858426966292</c:v>
                </c:pt>
                <c:pt idx="8">
                  <c:v>12.637500000000001</c:v>
                </c:pt>
                <c:pt idx="9">
                  <c:v>11.90970796460177</c:v>
                </c:pt>
                <c:pt idx="10">
                  <c:v>14.181249999999999</c:v>
                </c:pt>
                <c:pt idx="11">
                  <c:v>12.794929411764706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73896"/>
        <c:axId val="483076640"/>
      </c:lineChart>
      <c:dateAx>
        <c:axId val="6028206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17528"/>
        <c:crosses val="autoZero"/>
        <c:auto val="1"/>
        <c:lblOffset val="100"/>
        <c:baseTimeUnit val="months"/>
      </c:dateAx>
      <c:valAx>
        <c:axId val="6028175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Different styles / style changeovers</a:t>
                </a:r>
              </a:p>
            </c:rich>
          </c:tx>
          <c:layout>
            <c:manualLayout>
              <c:xMode val="edge"/>
              <c:yMode val="edge"/>
              <c:x val="1.3982788546736742E-2"/>
              <c:y val="0.1868370727917235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20664"/>
        <c:crosses val="autoZero"/>
        <c:crossBetween val="between"/>
      </c:valAx>
      <c:dateAx>
        <c:axId val="48307389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3076640"/>
        <c:crosses val="autoZero"/>
        <c:auto val="1"/>
        <c:lblOffset val="100"/>
        <c:baseTimeUnit val="months"/>
      </c:dateAx>
      <c:valAx>
        <c:axId val="48307664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pieces</a:t>
                </a:r>
                <a:r>
                  <a:rPr lang="en-GB" sz="1400" baseline="0"/>
                  <a:t> produced per style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72961792081515908"/>
              <c:y val="0.1752636210827067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38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449460868404041"/>
          <c:y val="0.22847619701432637"/>
          <c:w val="0.21133742957661994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[BS1+BS2]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84744178555121"/>
          <c:y val="0.16071179432209295"/>
          <c:w val="0.63624712036983044"/>
          <c:h val="0.64813054153689365"/>
        </c:manualLayout>
      </c:layout>
      <c:lineChart>
        <c:grouping val="standard"/>
        <c:varyColors val="0"/>
        <c:ser>
          <c:idx val="0"/>
          <c:order val="0"/>
          <c:tx>
            <c:strRef>
              <c:f>'Bright Sky'!$C$31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'Bright Sky'!$D$3:$O$3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'Bright Sky'!$D$31:$O$31</c:f>
              <c:numCache>
                <c:formatCode>0.0%</c:formatCode>
                <c:ptCount val="12"/>
                <c:pt idx="0">
                  <c:v>0.48357539350143558</c:v>
                </c:pt>
                <c:pt idx="1">
                  <c:v>0.47910698709676397</c:v>
                </c:pt>
                <c:pt idx="2">
                  <c:v>0.4540883666970294</c:v>
                </c:pt>
                <c:pt idx="3">
                  <c:v>0.41130513216171327</c:v>
                </c:pt>
                <c:pt idx="4">
                  <c:v>0.41572358802664278</c:v>
                </c:pt>
                <c:pt idx="5">
                  <c:v>0.42895645396044357</c:v>
                </c:pt>
                <c:pt idx="6">
                  <c:v>0.3800721555865107</c:v>
                </c:pt>
                <c:pt idx="7">
                  <c:v>0.44161821902952514</c:v>
                </c:pt>
                <c:pt idx="8">
                  <c:v>0.41725530037697517</c:v>
                </c:pt>
                <c:pt idx="9">
                  <c:v>0.44931806778269401</c:v>
                </c:pt>
                <c:pt idx="10">
                  <c:v>0.38892273001725902</c:v>
                </c:pt>
                <c:pt idx="11">
                  <c:v>0.42523019448412269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'Bright Sky'!$C$38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'Bright Sky'!$D$3:$O$3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'Bright Sky'!$D$38:$O$38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74288"/>
        <c:axId val="483073504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'Bright Sky'!$D$3:$J$3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'Bright Sky'!$D$43:$O$43</c:f>
              <c:numCache>
                <c:formatCode>#,##0</c:formatCode>
                <c:ptCount val="12"/>
                <c:pt idx="0">
                  <c:v>247.64036376190475</c:v>
                </c:pt>
                <c:pt idx="1">
                  <c:v>259.12444195652176</c:v>
                </c:pt>
                <c:pt idx="2">
                  <c:v>256.64455192307685</c:v>
                </c:pt>
                <c:pt idx="3">
                  <c:v>259.00632525000003</c:v>
                </c:pt>
                <c:pt idx="4">
                  <c:v>232.84533719999999</c:v>
                </c:pt>
                <c:pt idx="5">
                  <c:v>250.86888604347823</c:v>
                </c:pt>
                <c:pt idx="6">
                  <c:v>253.01285269230769</c:v>
                </c:pt>
                <c:pt idx="7">
                  <c:v>301.85450000000003</c:v>
                </c:pt>
                <c:pt idx="8">
                  <c:v>237.96300000000002</c:v>
                </c:pt>
                <c:pt idx="9">
                  <c:v>232.58285185185184</c:v>
                </c:pt>
                <c:pt idx="10">
                  <c:v>210.78861904761902</c:v>
                </c:pt>
                <c:pt idx="11">
                  <c:v>197.66623076923076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74680"/>
        <c:axId val="483075072"/>
      </c:lineChart>
      <c:dateAx>
        <c:axId val="48307428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3504"/>
        <c:crosses val="autoZero"/>
        <c:auto val="1"/>
        <c:lblOffset val="100"/>
        <c:baseTimeUnit val="months"/>
      </c:dateAx>
      <c:valAx>
        <c:axId val="483073504"/>
        <c:scaling>
          <c:orientation val="minMax"/>
          <c:max val="0.58000000000000007"/>
          <c:min val="0.330000000000000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1.0460248425733553E-2"/>
              <c:y val="0.430792415762179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4288"/>
        <c:crosses val="autoZero"/>
        <c:crossBetween val="between"/>
      </c:valAx>
      <c:dateAx>
        <c:axId val="48307468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3075072"/>
        <c:crosses val="autoZero"/>
        <c:auto val="1"/>
        <c:lblOffset val="100"/>
        <c:baseTimeUnit val="months"/>
      </c:dateAx>
      <c:valAx>
        <c:axId val="483075072"/>
        <c:scaling>
          <c:orientation val="minMax"/>
          <c:min val="150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 (US$ 000)</a:t>
                </a:r>
              </a:p>
            </c:rich>
          </c:tx>
          <c:layout>
            <c:manualLayout>
              <c:xMode val="edge"/>
              <c:yMode val="edge"/>
              <c:x val="0.79315031838087735"/>
              <c:y val="0.1584182162241244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46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0162773489708361"/>
          <c:y val="0.25471954757336429"/>
          <c:w val="0.18605815102337267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27573742507914"/>
          <c:y val="0.19873464409156694"/>
          <c:w val="0.59179718444285356"/>
          <c:h val="0.63309517015172745"/>
        </c:manualLayout>
      </c:layout>
      <c:lineChart>
        <c:grouping val="standard"/>
        <c:varyColors val="0"/>
        <c:ser>
          <c:idx val="0"/>
          <c:order val="0"/>
          <c:tx>
            <c:v>Subcon (Units)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'Bright Sky'!$D$3:$P$3</c:f>
              <c:strCache>
                <c:ptCount val="13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TOTAL</c:v>
                </c:pt>
              </c:strCache>
            </c:strRef>
          </c:cat>
          <c:val>
            <c:numRef>
              <c:f>'Bright Sky'!$D$47:$O$47</c:f>
              <c:numCache>
                <c:formatCode>#,##0</c:formatCode>
                <c:ptCount val="12"/>
                <c:pt idx="0">
                  <c:v>168.501</c:v>
                </c:pt>
                <c:pt idx="1">
                  <c:v>28.527999999999999</c:v>
                </c:pt>
                <c:pt idx="2">
                  <c:v>0</c:v>
                </c:pt>
                <c:pt idx="3">
                  <c:v>213.346</c:v>
                </c:pt>
                <c:pt idx="4">
                  <c:v>5.5519999999999996</c:v>
                </c:pt>
                <c:pt idx="5">
                  <c:v>96.141999999999996</c:v>
                </c:pt>
                <c:pt idx="6">
                  <c:v>430.70800000000003</c:v>
                </c:pt>
                <c:pt idx="7">
                  <c:v>213.29400000000001</c:v>
                </c:pt>
                <c:pt idx="8">
                  <c:v>156.09700000000001</c:v>
                </c:pt>
                <c:pt idx="9">
                  <c:v>310.78399999999999</c:v>
                </c:pt>
                <c:pt idx="10">
                  <c:v>72.573999999999998</c:v>
                </c:pt>
                <c:pt idx="11">
                  <c:v>246.411</c:v>
                </c:pt>
              </c:numCache>
            </c:numRef>
          </c:val>
          <c:smooth val="0"/>
        </c:ser>
        <c:ser>
          <c:idx val="1"/>
          <c:order val="1"/>
          <c:tx>
            <c:v>In-house (Units)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strRef>
              <c:f>'Bright Sky'!$D$3:$P$3</c:f>
              <c:strCache>
                <c:ptCount val="13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TOTAL</c:v>
                </c:pt>
              </c:strCache>
            </c:strRef>
          </c:cat>
          <c:val>
            <c:numRef>
              <c:f>'Bright Sky'!$D$46:$O$46</c:f>
              <c:numCache>
                <c:formatCode>#,##0</c:formatCode>
                <c:ptCount val="12"/>
                <c:pt idx="0">
                  <c:v>1337.3679999999999</c:v>
                </c:pt>
                <c:pt idx="1">
                  <c:v>1107.7729999999999</c:v>
                </c:pt>
                <c:pt idx="2">
                  <c:v>1199.338</c:v>
                </c:pt>
                <c:pt idx="3">
                  <c:v>1397.826</c:v>
                </c:pt>
                <c:pt idx="4">
                  <c:v>1747.153</c:v>
                </c:pt>
                <c:pt idx="5">
                  <c:v>1542.5429999999999</c:v>
                </c:pt>
                <c:pt idx="6">
                  <c:v>1266.0219999999999</c:v>
                </c:pt>
                <c:pt idx="7">
                  <c:v>1460.2950000000001</c:v>
                </c:pt>
                <c:pt idx="8">
                  <c:v>638.30600000000004</c:v>
                </c:pt>
                <c:pt idx="9">
                  <c:v>928.22199999999998</c:v>
                </c:pt>
                <c:pt idx="10">
                  <c:v>979.17399999999998</c:v>
                </c:pt>
                <c:pt idx="11">
                  <c:v>1611.8679999999999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075464"/>
        <c:axId val="483075856"/>
      </c:lineChart>
      <c:lineChart>
        <c:grouping val="standard"/>
        <c:varyColors val="0"/>
        <c:ser>
          <c:idx val="2"/>
          <c:order val="2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numRef>
              <c:f>'Bright Sky'!$D$3:$O$3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'Bright Sky'!$D$4:$O$4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39008"/>
        <c:axId val="483340576"/>
      </c:lineChart>
      <c:catAx>
        <c:axId val="48307546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5856"/>
        <c:crosses val="autoZero"/>
        <c:auto val="1"/>
        <c:lblAlgn val="ctr"/>
        <c:lblOffset val="100"/>
        <c:noMultiLvlLbl val="0"/>
      </c:catAx>
      <c:valAx>
        <c:axId val="4830758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Units (000)</a:t>
                </a:r>
              </a:p>
            </c:rich>
          </c:tx>
          <c:layout>
            <c:manualLayout>
              <c:xMode val="edge"/>
              <c:yMode val="edge"/>
              <c:x val="1.5431017528590139E-2"/>
              <c:y val="0.424900955459339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075464"/>
        <c:crosses val="autoZero"/>
        <c:crossBetween val="between"/>
      </c:valAx>
      <c:dateAx>
        <c:axId val="48333900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3340576"/>
        <c:crosses val="autoZero"/>
        <c:auto val="1"/>
        <c:lblOffset val="100"/>
        <c:baseTimeUnit val="months"/>
      </c:dateAx>
      <c:valAx>
        <c:axId val="48334057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Working days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33900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0760009544261513"/>
          <c:y val="0.22813841886778044"/>
          <c:w val="0.17879233277658496"/>
          <c:h val="0.56504036415264536"/>
        </c:manualLayout>
      </c:layout>
      <c:overlay val="0"/>
      <c:txPr>
        <a:bodyPr/>
        <a:lstStyle/>
        <a:p>
          <a:pPr>
            <a:def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600" b="1" i="0" u="none" strike="noStrike" baseline="0">
                <a:solidFill>
                  <a:srgbClr val="000000"/>
                </a:solidFill>
                <a:latin typeface="Calibri"/>
              </a:rPr>
              <a:t>BRIGHT SKY SHIPPED UNITS</a:t>
            </a:r>
            <a:endParaRPr lang="en-GB" sz="16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970675682864692"/>
          <c:y val="0.21832971039899024"/>
          <c:w val="0.65670628986209711"/>
          <c:h val="0.6359550593956122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GB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'Bright Sky'!$B$57:$B$58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'Bright Sky'!$R$46:$R$47</c:f>
              <c:numCache>
                <c:formatCode>0%</c:formatCode>
                <c:ptCount val="2"/>
                <c:pt idx="0">
                  <c:v>0.8868191626852473</c:v>
                </c:pt>
                <c:pt idx="1">
                  <c:v>0.11318083731475292</c:v>
                </c:pt>
              </c:numCache>
            </c:numRef>
          </c:val>
        </c:ser>
        <c:ser>
          <c:idx val="1"/>
          <c:order val="1"/>
          <c:cat>
            <c:strRef>
              <c:f>'Bright Sky'!$B$57:$B$58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'Bright Sky'!$B$57:$B$58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 rtl="0"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[BS1+BS2] - Style data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652321585120267E-2"/>
          <c:y val="0.16071179432209295"/>
          <c:w val="0.59545581052075425"/>
          <c:h val="0.64813054153689365"/>
        </c:manualLayout>
      </c:layout>
      <c:lineChart>
        <c:grouping val="standard"/>
        <c:varyColors val="0"/>
        <c:ser>
          <c:idx val="0"/>
          <c:order val="0"/>
          <c:tx>
            <c:strRef>
              <c:f>OVERALL!$C$33</c:f>
              <c:strCache>
                <c:ptCount val="1"/>
                <c:pt idx="0">
                  <c:v>No. of Different Styles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OVERALL!$D$33:$O$33</c:f>
              <c:numCache>
                <c:formatCode>#,##0</c:formatCode>
                <c:ptCount val="12"/>
                <c:pt idx="0">
                  <c:v>93</c:v>
                </c:pt>
                <c:pt idx="1">
                  <c:v>89</c:v>
                </c:pt>
                <c:pt idx="2">
                  <c:v>71</c:v>
                </c:pt>
                <c:pt idx="3">
                  <c:v>84</c:v>
                </c:pt>
                <c:pt idx="4">
                  <c:v>104</c:v>
                </c:pt>
                <c:pt idx="5">
                  <c:v>91</c:v>
                </c:pt>
                <c:pt idx="6">
                  <c:v>105</c:v>
                </c:pt>
                <c:pt idx="7">
                  <c:v>89</c:v>
                </c:pt>
                <c:pt idx="8">
                  <c:v>92</c:v>
                </c:pt>
                <c:pt idx="9">
                  <c:v>113</c:v>
                </c:pt>
                <c:pt idx="10">
                  <c:v>72</c:v>
                </c:pt>
                <c:pt idx="11">
                  <c:v>85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OVERALL!$C$34</c:f>
              <c:strCache>
                <c:ptCount val="1"/>
                <c:pt idx="0">
                  <c:v>No. of Style Changeovers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OVERALL!$D$34:$O$34</c:f>
              <c:numCache>
                <c:formatCode>#,##0</c:formatCode>
                <c:ptCount val="12"/>
                <c:pt idx="1">
                  <c:v>54</c:v>
                </c:pt>
                <c:pt idx="2">
                  <c:v>40</c:v>
                </c:pt>
                <c:pt idx="3">
                  <c:v>45</c:v>
                </c:pt>
                <c:pt idx="4">
                  <c:v>76</c:v>
                </c:pt>
                <c:pt idx="5">
                  <c:v>45</c:v>
                </c:pt>
                <c:pt idx="6">
                  <c:v>65</c:v>
                </c:pt>
                <c:pt idx="7">
                  <c:v>39</c:v>
                </c:pt>
                <c:pt idx="8">
                  <c:v>45</c:v>
                </c:pt>
                <c:pt idx="9">
                  <c:v>74</c:v>
                </c:pt>
                <c:pt idx="10">
                  <c:v>40</c:v>
                </c:pt>
                <c:pt idx="11">
                  <c:v>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39792"/>
        <c:axId val="483337832"/>
      </c:lineChart>
      <c:lineChart>
        <c:grouping val="standard"/>
        <c:varyColors val="0"/>
        <c:ser>
          <c:idx val="1"/>
          <c:order val="1"/>
          <c:tx>
            <c:strRef>
              <c:f>OVERALL!$C$35</c:f>
              <c:strCache>
                <c:ptCount val="1"/>
                <c:pt idx="0">
                  <c:v>Ave pieces per Style (000)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OVERALL!$D$35:$O$35</c:f>
              <c:numCache>
                <c:formatCode>#,##0</c:formatCode>
                <c:ptCount val="12"/>
                <c:pt idx="0">
                  <c:v>14.016645161290322</c:v>
                </c:pt>
                <c:pt idx="1">
                  <c:v>19.440764044943823</c:v>
                </c:pt>
                <c:pt idx="2">
                  <c:v>24.242732394366197</c:v>
                </c:pt>
                <c:pt idx="3">
                  <c:v>11.200880952380951</c:v>
                </c:pt>
                <c:pt idx="4">
                  <c:v>10.00475</c:v>
                </c:pt>
                <c:pt idx="5">
                  <c:v>13.304021978021977</c:v>
                </c:pt>
                <c:pt idx="6">
                  <c:v>9.8970952380952397</c:v>
                </c:pt>
                <c:pt idx="7">
                  <c:v>12.52858426966292</c:v>
                </c:pt>
                <c:pt idx="8">
                  <c:v>12.637500000000001</c:v>
                </c:pt>
                <c:pt idx="9">
                  <c:v>11.90970796460177</c:v>
                </c:pt>
                <c:pt idx="10">
                  <c:v>14.181249999999999</c:v>
                </c:pt>
                <c:pt idx="11">
                  <c:v>12.794929411764706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40184"/>
        <c:axId val="483338616"/>
      </c:lineChart>
      <c:dateAx>
        <c:axId val="48333979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337832"/>
        <c:crosses val="autoZero"/>
        <c:auto val="1"/>
        <c:lblOffset val="100"/>
        <c:baseTimeUnit val="months"/>
      </c:dateAx>
      <c:valAx>
        <c:axId val="48333783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Different styles / style changeovers</a:t>
                </a:r>
              </a:p>
            </c:rich>
          </c:tx>
          <c:layout>
            <c:manualLayout>
              <c:xMode val="edge"/>
              <c:yMode val="edge"/>
              <c:x val="1.3982788546736742E-2"/>
              <c:y val="0.1868370727917235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339792"/>
        <c:crosses val="autoZero"/>
        <c:crossBetween val="between"/>
      </c:valAx>
      <c:dateAx>
        <c:axId val="4833401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3338616"/>
        <c:crosses val="autoZero"/>
        <c:auto val="1"/>
        <c:lblOffset val="100"/>
        <c:baseTimeUnit val="months"/>
      </c:dateAx>
      <c:valAx>
        <c:axId val="48333861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pieces</a:t>
                </a:r>
                <a:r>
                  <a:rPr lang="en-GB" sz="1400" baseline="0"/>
                  <a:t> produced per style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72961792081515908"/>
              <c:y val="0.1752636210827067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3401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449460868404041"/>
          <c:y val="0.22847619701432637"/>
          <c:w val="0.21133742957661994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/>
            </a:pPr>
            <a:r>
              <a:rPr lang="en-GB" sz="1600" b="1" i="0" baseline="0"/>
              <a:t>BTE PRINTING </a:t>
            </a:r>
            <a:r>
              <a:rPr lang="en-GB" sz="1600" b="0" i="0" baseline="0"/>
              <a:t>Production &amp; Shipment KPIs</a:t>
            </a:r>
          </a:p>
          <a:p>
            <a:pPr>
              <a:defRPr sz="1100"/>
            </a:pPr>
            <a:r>
              <a:rPr lang="en-GB" sz="1400" b="0" i="0" baseline="0"/>
              <a:t>Period:</a:t>
            </a:r>
            <a:r>
              <a:rPr lang="en-GB" sz="1400" b="1" i="0" baseline="0"/>
              <a:t> JAN 2014 - DEC 2014</a:t>
            </a:r>
            <a:endParaRPr lang="en-US" sz="1050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9526129453468892E-2"/>
          <c:y val="0.17952880018862272"/>
          <c:w val="0.61841961230288811"/>
          <c:h val="0.6184983641113363"/>
        </c:manualLayout>
      </c:layout>
      <c:lineChart>
        <c:grouping val="standard"/>
        <c:varyColors val="0"/>
        <c:ser>
          <c:idx val="0"/>
          <c:order val="0"/>
          <c:tx>
            <c:strRef>
              <c:f>BTE!$B$15</c:f>
              <c:strCache>
                <c:ptCount val="1"/>
                <c:pt idx="0">
                  <c:v>[Shipped] Revenue (US$ 000)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BTE!$C$15:$N$15</c:f>
              <c:numCache>
                <c:formatCode>#,##0</c:formatCode>
                <c:ptCount val="12"/>
                <c:pt idx="0">
                  <c:v>202.66824</c:v>
                </c:pt>
                <c:pt idx="1">
                  <c:v>283.29227000000003</c:v>
                </c:pt>
                <c:pt idx="2">
                  <c:v>304.68536</c:v>
                </c:pt>
                <c:pt idx="3">
                  <c:v>272.43930999999998</c:v>
                </c:pt>
                <c:pt idx="4">
                  <c:v>286.98975999999999</c:v>
                </c:pt>
                <c:pt idx="5">
                  <c:v>186.31774999999999</c:v>
                </c:pt>
                <c:pt idx="6">
                  <c:v>214.47181</c:v>
                </c:pt>
                <c:pt idx="7">
                  <c:v>411.48599999999999</c:v>
                </c:pt>
                <c:pt idx="8">
                  <c:v>303.65899999999999</c:v>
                </c:pt>
                <c:pt idx="9">
                  <c:v>225.68</c:v>
                </c:pt>
                <c:pt idx="10">
                  <c:v>100.864</c:v>
                </c:pt>
                <c:pt idx="11">
                  <c:v>148.524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3338224"/>
        <c:axId val="485210096"/>
      </c:lineChart>
      <c:lineChart>
        <c:grouping val="standard"/>
        <c:varyColors val="0"/>
        <c:ser>
          <c:idx val="1"/>
          <c:order val="1"/>
          <c:tx>
            <c:strRef>
              <c:f>BTE!$B$10</c:f>
              <c:strCache>
                <c:ptCount val="1"/>
                <c:pt idx="0">
                  <c:v>ave. Units/day standardised</c:v>
                </c:pt>
              </c:strCache>
            </c:strRef>
          </c:tx>
          <c:marker>
            <c:symbol val="none"/>
          </c:marker>
          <c:cat>
            <c:numRef>
              <c:f>BTE!$L$4:$N$4</c:f>
              <c:numCache>
                <c:formatCode>[$-409]mmm\-yy;@</c:formatCode>
                <c:ptCount val="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</c:numCache>
            </c:numRef>
          </c:cat>
          <c:val>
            <c:numRef>
              <c:f>BTE!$C$10:$N$10</c:f>
              <c:numCache>
                <c:formatCode>#,##0.00</c:formatCode>
                <c:ptCount val="12"/>
                <c:pt idx="0">
                  <c:v>0.65587598438964334</c:v>
                </c:pt>
                <c:pt idx="1">
                  <c:v>0.99930970331929914</c:v>
                </c:pt>
                <c:pt idx="2">
                  <c:v>0.71936585347483228</c:v>
                </c:pt>
                <c:pt idx="3">
                  <c:v>0.39457461079016942</c:v>
                </c:pt>
                <c:pt idx="4">
                  <c:v>0.52810359345931657</c:v>
                </c:pt>
                <c:pt idx="5">
                  <c:v>0.63339852447221978</c:v>
                </c:pt>
                <c:pt idx="6">
                  <c:v>0.47772190797550634</c:v>
                </c:pt>
                <c:pt idx="7">
                  <c:v>0.68867035979784452</c:v>
                </c:pt>
                <c:pt idx="8">
                  <c:v>0.58548795652599628</c:v>
                </c:pt>
                <c:pt idx="9">
                  <c:v>0.16594405822644345</c:v>
                </c:pt>
                <c:pt idx="10">
                  <c:v>0.21820919183300461</c:v>
                </c:pt>
                <c:pt idx="11">
                  <c:v>0.17513064043564389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BTE!$B$6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BTE!$L$4:$N$4</c:f>
              <c:numCache>
                <c:formatCode>[$-409]mmm\-yy;@</c:formatCode>
                <c:ptCount val="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</c:numCache>
            </c:numRef>
          </c:cat>
          <c:val>
            <c:numRef>
              <c:f>BTE!$C$6:$N$6</c:f>
              <c:numCache>
                <c:formatCode>0%</c:formatCode>
                <c:ptCount val="12"/>
                <c:pt idx="0">
                  <c:v>0.67486167302870814</c:v>
                </c:pt>
                <c:pt idx="1">
                  <c:v>0.7710815801746157</c:v>
                </c:pt>
                <c:pt idx="2">
                  <c:v>0.56218460887307697</c:v>
                </c:pt>
                <c:pt idx="3">
                  <c:v>0.3272872597769117</c:v>
                </c:pt>
                <c:pt idx="4">
                  <c:v>0.65900093642523916</c:v>
                </c:pt>
                <c:pt idx="5">
                  <c:v>0.69751160257271194</c:v>
                </c:pt>
                <c:pt idx="6">
                  <c:v>0.57832309857353026</c:v>
                </c:pt>
                <c:pt idx="7">
                  <c:v>0.76549076026128315</c:v>
                </c:pt>
                <c:pt idx="8">
                  <c:v>0.73269310200071347</c:v>
                </c:pt>
                <c:pt idx="9">
                  <c:v>0.4887896275526285</c:v>
                </c:pt>
                <c:pt idx="10">
                  <c:v>0.66459201864095119</c:v>
                </c:pt>
                <c:pt idx="11">
                  <c:v>0.55037491925130622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BTE!$B$16</c:f>
              <c:strCache>
                <c:ptCount val="1"/>
                <c:pt idx="0">
                  <c:v>ave. revenue/pc (US$)</c:v>
                </c:pt>
              </c:strCache>
            </c:strRef>
          </c:tx>
          <c:marker>
            <c:symbol val="none"/>
          </c:marker>
          <c:cat>
            <c:numRef>
              <c:f>BTE!$L$4:$N$4</c:f>
              <c:numCache>
                <c:formatCode>[$-409]mmm\-yy;@</c:formatCode>
                <c:ptCount val="3"/>
                <c:pt idx="0">
                  <c:v>41913</c:v>
                </c:pt>
                <c:pt idx="1">
                  <c:v>41944</c:v>
                </c:pt>
                <c:pt idx="2">
                  <c:v>41974</c:v>
                </c:pt>
              </c:numCache>
            </c:numRef>
          </c:cat>
          <c:val>
            <c:numRef>
              <c:f>BTE!$C$16:$N$16</c:f>
              <c:numCache>
                <c:formatCode>#,##0.00</c:formatCode>
                <c:ptCount val="12"/>
                <c:pt idx="0">
                  <c:v>0.27482488863576265</c:v>
                </c:pt>
                <c:pt idx="1">
                  <c:v>0.33071710249824893</c:v>
                </c:pt>
                <c:pt idx="2">
                  <c:v>0.25124130879345602</c:v>
                </c:pt>
                <c:pt idx="3">
                  <c:v>0.29322831806591948</c:v>
                </c:pt>
                <c:pt idx="4">
                  <c:v>0.22958905293136481</c:v>
                </c:pt>
                <c:pt idx="5">
                  <c:v>0.23614177549530546</c:v>
                </c:pt>
                <c:pt idx="6">
                  <c:v>0.29500936726272353</c:v>
                </c:pt>
                <c:pt idx="7">
                  <c:v>0.38253036409019286</c:v>
                </c:pt>
                <c:pt idx="8">
                  <c:v>0.43165202756009047</c:v>
                </c:pt>
                <c:pt idx="9">
                  <c:v>0.34169761698919099</c:v>
                </c:pt>
                <c:pt idx="10">
                  <c:v>0.27878000580423157</c:v>
                </c:pt>
                <c:pt idx="11">
                  <c:v>0.47836743633265805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10488"/>
        <c:axId val="485212448"/>
      </c:lineChart>
      <c:dateAx>
        <c:axId val="483338224"/>
        <c:scaling>
          <c:orientation val="minMax"/>
        </c:scaling>
        <c:delete val="0"/>
        <c:axPos val="b"/>
        <c:numFmt formatCode="[$-409]mmm\-yy;@" sourceLinked="0"/>
        <c:majorTickMark val="none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10096"/>
        <c:crosses val="autoZero"/>
        <c:auto val="1"/>
        <c:lblOffset val="100"/>
        <c:baseTimeUnit val="months"/>
      </c:dateAx>
      <c:valAx>
        <c:axId val="485210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 b="1"/>
                </a:pPr>
                <a:r>
                  <a:rPr lang="en-GB" sz="1400" b="1"/>
                  <a:t>Revenue</a:t>
                </a:r>
              </a:p>
            </c:rich>
          </c:tx>
          <c:layout/>
          <c:overlay val="0"/>
        </c:title>
        <c:numFmt formatCode="#,##0" sourceLinked="1"/>
        <c:majorTickMark val="none"/>
        <c:minorTickMark val="none"/>
        <c:tickLblPos val="nextTo"/>
        <c:spPr>
          <a:ln w="9525">
            <a:noFill/>
          </a:ln>
        </c:spPr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3338224"/>
        <c:crosses val="autoZero"/>
        <c:crossBetween val="between"/>
      </c:valAx>
      <c:dateAx>
        <c:axId val="48521048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5212448"/>
        <c:crosses val="autoZero"/>
        <c:auto val="1"/>
        <c:lblOffset val="100"/>
        <c:baseTimeUnit val="months"/>
      </c:dateAx>
      <c:valAx>
        <c:axId val="485212448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Ave. Revenue / pc; Efficiency</a:t>
                </a:r>
              </a:p>
            </c:rich>
          </c:tx>
          <c:layout/>
          <c:overlay val="0"/>
        </c:title>
        <c:numFmt formatCode="#,##0.0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1048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0828118331542287"/>
          <c:y val="8.5276921095217867E-2"/>
          <c:w val="0.18397394062647915"/>
          <c:h val="0.8581372175970412"/>
        </c:manualLayout>
      </c:layout>
      <c:overlay val="0"/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600" b="1" i="0" u="none" strike="noStrike" baseline="0">
                <a:solidFill>
                  <a:srgbClr val="000000"/>
                </a:solidFill>
                <a:latin typeface="Calibri"/>
              </a:rPr>
              <a:t>BTE EMBROIDERY </a:t>
            </a:r>
            <a:r>
              <a:rPr lang="en-GB" sz="1600" b="0" i="0" u="none" strike="noStrike" baseline="0">
                <a:solidFill>
                  <a:srgbClr val="000000"/>
                </a:solidFill>
                <a:latin typeface="Calibri"/>
              </a:rPr>
              <a:t>Production &amp; Shipment KPIs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001530542036545"/>
          <c:y val="0.16300665836291281"/>
          <c:w val="0.61885168584279771"/>
          <c:h val="0.6480168831126395"/>
        </c:manualLayout>
      </c:layout>
      <c:lineChart>
        <c:grouping val="standard"/>
        <c:varyColors val="0"/>
        <c:ser>
          <c:idx val="0"/>
          <c:order val="0"/>
          <c:tx>
            <c:strRef>
              <c:f>BTE!$B$15</c:f>
              <c:strCache>
                <c:ptCount val="1"/>
                <c:pt idx="0">
                  <c:v>[Shipped] Revenue (US$ 000)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BTE!$C$26:$N$26</c:f>
              <c:numCache>
                <c:formatCode>#,##0</c:formatCode>
                <c:ptCount val="12"/>
                <c:pt idx="0">
                  <c:v>156.63460000000001</c:v>
                </c:pt>
                <c:pt idx="1">
                  <c:v>156.92272</c:v>
                </c:pt>
                <c:pt idx="2">
                  <c:v>242.83545999999998</c:v>
                </c:pt>
                <c:pt idx="3">
                  <c:v>137.89750999999998</c:v>
                </c:pt>
                <c:pt idx="4">
                  <c:v>182.99807999999993</c:v>
                </c:pt>
                <c:pt idx="5">
                  <c:v>269.28185999999999</c:v>
                </c:pt>
                <c:pt idx="6">
                  <c:v>309.53910000000002</c:v>
                </c:pt>
                <c:pt idx="7">
                  <c:v>439.00400000000002</c:v>
                </c:pt>
                <c:pt idx="8">
                  <c:v>365.15300000000002</c:v>
                </c:pt>
                <c:pt idx="9">
                  <c:v>212.07599999999999</c:v>
                </c:pt>
                <c:pt idx="10">
                  <c:v>104.425</c:v>
                </c:pt>
                <c:pt idx="11">
                  <c:v>180.965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11272"/>
        <c:axId val="485211664"/>
      </c:lineChart>
      <c:lineChart>
        <c:grouping val="standard"/>
        <c:varyColors val="0"/>
        <c:ser>
          <c:idx val="1"/>
          <c:order val="1"/>
          <c:tx>
            <c:strRef>
              <c:f>BTE!$B$10</c:f>
              <c:strCache>
                <c:ptCount val="1"/>
                <c:pt idx="0">
                  <c:v>ave. Units/day standardised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BTE!$C$21:$N$21</c:f>
            </c:numRef>
          </c:val>
          <c:smooth val="0"/>
        </c:ser>
        <c:ser>
          <c:idx val="2"/>
          <c:order val="2"/>
          <c:tx>
            <c:strRef>
              <c:f>BTE!$B$28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BTE!$C$17:$N$17</c:f>
              <c:numCache>
                <c:formatCode>0%</c:formatCode>
                <c:ptCount val="12"/>
                <c:pt idx="0">
                  <c:v>0.50000025683343896</c:v>
                </c:pt>
                <c:pt idx="1">
                  <c:v>0.5328360463246723</c:v>
                </c:pt>
                <c:pt idx="2">
                  <c:v>0.54140550907204588</c:v>
                </c:pt>
                <c:pt idx="3">
                  <c:v>0.51166438633442113</c:v>
                </c:pt>
                <c:pt idx="4">
                  <c:v>0.50655691677442216</c:v>
                </c:pt>
                <c:pt idx="5">
                  <c:v>0.52369340647739537</c:v>
                </c:pt>
                <c:pt idx="6">
                  <c:v>0.47548237746101457</c:v>
                </c:pt>
                <c:pt idx="7">
                  <c:v>0.46840043080859872</c:v>
                </c:pt>
                <c:pt idx="8">
                  <c:v>0.41117535713583847</c:v>
                </c:pt>
                <c:pt idx="9">
                  <c:v>0.45331517568993995</c:v>
                </c:pt>
                <c:pt idx="10">
                  <c:v>0.66301670807027013</c:v>
                </c:pt>
                <c:pt idx="11">
                  <c:v>0.53841675053850435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BTE!$B$16</c:f>
              <c:strCache>
                <c:ptCount val="1"/>
                <c:pt idx="0">
                  <c:v>ave. revenue/pc (US$)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BTE!$C$27:$N$27</c:f>
              <c:numCache>
                <c:formatCode>#,##0.00</c:formatCode>
                <c:ptCount val="12"/>
                <c:pt idx="0">
                  <c:v>0.43451555005672976</c:v>
                </c:pt>
                <c:pt idx="1">
                  <c:v>0.38055340799410214</c:v>
                </c:pt>
                <c:pt idx="2">
                  <c:v>0.42977977887625807</c:v>
                </c:pt>
                <c:pt idx="3">
                  <c:v>0.40741668340877124</c:v>
                </c:pt>
                <c:pt idx="4">
                  <c:v>0.27931218271787334</c:v>
                </c:pt>
                <c:pt idx="5">
                  <c:v>0.299116652244859</c:v>
                </c:pt>
                <c:pt idx="6">
                  <c:v>0.33535252528097803</c:v>
                </c:pt>
                <c:pt idx="7">
                  <c:v>0.40604718058760692</c:v>
                </c:pt>
                <c:pt idx="8">
                  <c:v>0.46797088262056419</c:v>
                </c:pt>
                <c:pt idx="9">
                  <c:v>0.45536743786569323</c:v>
                </c:pt>
                <c:pt idx="10">
                  <c:v>0.37843646036428474</c:v>
                </c:pt>
                <c:pt idx="11">
                  <c:v>0.21019198537431283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8920"/>
        <c:axId val="485212056"/>
      </c:lineChart>
      <c:dateAx>
        <c:axId val="485211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11664"/>
        <c:crosses val="autoZero"/>
        <c:auto val="1"/>
        <c:lblOffset val="100"/>
        <c:baseTimeUnit val="months"/>
      </c:dateAx>
      <c:valAx>
        <c:axId val="48521166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Revenue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11272"/>
        <c:crosses val="autoZero"/>
        <c:crossBetween val="between"/>
      </c:valAx>
      <c:dateAx>
        <c:axId val="48520892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5212056"/>
        <c:crosses val="autoZero"/>
        <c:auto val="1"/>
        <c:lblOffset val="100"/>
        <c:baseTimeUnit val="months"/>
      </c:dateAx>
      <c:valAx>
        <c:axId val="485212056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Ave. Revenue / pc; Efficiency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0892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098304073601853"/>
          <c:y val="0.18689033398856084"/>
          <c:w val="0.18655434460815171"/>
          <c:h val="0.62893562356372534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600" b="1" i="0" u="none" strike="noStrike" baseline="0">
                <a:solidFill>
                  <a:srgbClr val="000000"/>
                </a:solidFill>
                <a:latin typeface="Calibri"/>
              </a:rPr>
              <a:t>BTE LAUNDRY </a:t>
            </a:r>
            <a:r>
              <a:rPr lang="en-GB" sz="1600" b="0" i="0" u="none" strike="noStrike" baseline="0">
                <a:solidFill>
                  <a:srgbClr val="000000"/>
                </a:solidFill>
                <a:latin typeface="Calibri"/>
              </a:rPr>
              <a:t>Production &amp; Shipment KPIs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8984365470327393E-2"/>
          <c:y val="0.16300665836291281"/>
          <c:w val="0.62032411610838512"/>
          <c:h val="0.63857926500236706"/>
        </c:manualLayout>
      </c:layout>
      <c:lineChart>
        <c:grouping val="standard"/>
        <c:varyColors val="0"/>
        <c:ser>
          <c:idx val="0"/>
          <c:order val="0"/>
          <c:tx>
            <c:strRef>
              <c:f>BTE!$B$15</c:f>
              <c:strCache>
                <c:ptCount val="1"/>
                <c:pt idx="0">
                  <c:v>[Shipped] Revenue (US$ 000)</c:v>
                </c:pt>
              </c:strCache>
            </c:strRef>
          </c:tx>
          <c:spPr>
            <a:ln>
              <a:solidFill>
                <a:schemeClr val="tx1"/>
              </a:solidFill>
            </a:ln>
          </c:spPr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BTE!$C$37:$N$37</c:f>
              <c:numCache>
                <c:formatCode>#,##0</c:formatCode>
                <c:ptCount val="12"/>
                <c:pt idx="0">
                  <c:v>129.93362000000002</c:v>
                </c:pt>
                <c:pt idx="1">
                  <c:v>217.72062</c:v>
                </c:pt>
                <c:pt idx="2">
                  <c:v>127.64070999999998</c:v>
                </c:pt>
                <c:pt idx="3">
                  <c:v>121.18095</c:v>
                </c:pt>
                <c:pt idx="4">
                  <c:v>223.55839000000023</c:v>
                </c:pt>
                <c:pt idx="5">
                  <c:v>77.647210000000001</c:v>
                </c:pt>
                <c:pt idx="6">
                  <c:v>156.04750000000001</c:v>
                </c:pt>
                <c:pt idx="7">
                  <c:v>179.48400000000001</c:v>
                </c:pt>
                <c:pt idx="8">
                  <c:v>135.18799999999999</c:v>
                </c:pt>
                <c:pt idx="9">
                  <c:v>105.038</c:v>
                </c:pt>
                <c:pt idx="10">
                  <c:v>71.352000000000004</c:v>
                </c:pt>
                <c:pt idx="11">
                  <c:v>188.59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5209704"/>
        <c:axId val="607512984"/>
      </c:lineChart>
      <c:lineChart>
        <c:grouping val="standard"/>
        <c:varyColors val="0"/>
        <c:ser>
          <c:idx val="1"/>
          <c:order val="1"/>
          <c:tx>
            <c:strRef>
              <c:f>BTE!$B$10</c:f>
              <c:strCache>
                <c:ptCount val="1"/>
                <c:pt idx="0">
                  <c:v>ave. Units/day standardised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BTE!$C$32:$N$32</c:f>
            </c:numRef>
          </c:val>
          <c:smooth val="0"/>
        </c:ser>
        <c:ser>
          <c:idx val="2"/>
          <c:order val="2"/>
          <c:tx>
            <c:strRef>
              <c:f>BTE!$B$28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BTE!$C$28:$N$28</c:f>
              <c:numCache>
                <c:formatCode>0%</c:formatCode>
                <c:ptCount val="12"/>
                <c:pt idx="0">
                  <c:v>0.4960031867954911</c:v>
                </c:pt>
                <c:pt idx="1">
                  <c:v>0.7636860725034762</c:v>
                </c:pt>
                <c:pt idx="2">
                  <c:v>0.72536431899801146</c:v>
                </c:pt>
                <c:pt idx="3">
                  <c:v>0.55773353893089284</c:v>
                </c:pt>
                <c:pt idx="4">
                  <c:v>0.45303244872810494</c:v>
                </c:pt>
                <c:pt idx="5">
                  <c:v>0.57196847294722009</c:v>
                </c:pt>
                <c:pt idx="6">
                  <c:v>0.57137677518756702</c:v>
                </c:pt>
                <c:pt idx="7">
                  <c:v>0.54824869990822889</c:v>
                </c:pt>
                <c:pt idx="8">
                  <c:v>0.56351142082849404</c:v>
                </c:pt>
                <c:pt idx="9">
                  <c:v>0.53414242418743085</c:v>
                </c:pt>
                <c:pt idx="10">
                  <c:v>0.45094161299355928</c:v>
                </c:pt>
                <c:pt idx="11">
                  <c:v>0.37646928251886763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BTE!$B$16</c:f>
              <c:strCache>
                <c:ptCount val="1"/>
                <c:pt idx="0">
                  <c:v>ave. revenue/pc (US$)</c:v>
                </c:pt>
              </c:strCache>
            </c:strRef>
          </c:tx>
          <c:marker>
            <c:symbol val="none"/>
          </c:marker>
          <c:cat>
            <c:numRef>
              <c:f>BTE!$C$4:$N$4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BTE!$C$38:$N$38</c:f>
              <c:numCache>
                <c:formatCode>#,##0.00</c:formatCode>
                <c:ptCount val="12"/>
                <c:pt idx="0">
                  <c:v>0.15982152345902545</c:v>
                </c:pt>
                <c:pt idx="1">
                  <c:v>0.20888679734047147</c:v>
                </c:pt>
                <c:pt idx="2">
                  <c:v>0.12361649850758408</c:v>
                </c:pt>
                <c:pt idx="3">
                  <c:v>0.15858151140945639</c:v>
                </c:pt>
                <c:pt idx="4">
                  <c:v>0.22224094567404448</c:v>
                </c:pt>
                <c:pt idx="5">
                  <c:v>0.11079795947488585</c:v>
                </c:pt>
                <c:pt idx="6">
                  <c:v>0.1586935563587254</c:v>
                </c:pt>
                <c:pt idx="7">
                  <c:v>0.13435446841415408</c:v>
                </c:pt>
                <c:pt idx="8">
                  <c:v>0.12292198398417147</c:v>
                </c:pt>
                <c:pt idx="9">
                  <c:v>0.14339012713420418</c:v>
                </c:pt>
                <c:pt idx="10">
                  <c:v>0.1237169172723742</c:v>
                </c:pt>
                <c:pt idx="11">
                  <c:v>0.13818688605791846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3768"/>
        <c:axId val="607514160"/>
      </c:lineChart>
      <c:dateAx>
        <c:axId val="48520970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2984"/>
        <c:crosses val="autoZero"/>
        <c:auto val="1"/>
        <c:lblOffset val="100"/>
        <c:baseTimeUnit val="months"/>
      </c:dateAx>
      <c:valAx>
        <c:axId val="60751298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Revenue</a:t>
                </a:r>
              </a:p>
            </c:rich>
          </c:tx>
          <c:layout/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5209704"/>
        <c:crosses val="autoZero"/>
        <c:crossBetween val="between"/>
      </c:valAx>
      <c:dateAx>
        <c:axId val="60751376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7514160"/>
        <c:crosses val="autoZero"/>
        <c:auto val="1"/>
        <c:lblOffset val="100"/>
        <c:baseTimeUnit val="months"/>
      </c:dateAx>
      <c:valAx>
        <c:axId val="607514160"/>
        <c:scaling>
          <c:orientation val="minMax"/>
          <c:max val="1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Ave. Revenue / pc; Efficiency</a:t>
                </a:r>
              </a:p>
            </c:rich>
          </c:tx>
          <c:layout/>
          <c:overlay val="0"/>
        </c:title>
        <c:numFmt formatCode="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37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1511272825809933"/>
          <c:y val="0.17124411462791117"/>
          <c:w val="0.17738326186824041"/>
          <c:h val="0.67396903967687583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[BS3]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02559435455732"/>
          <c:y val="0.1600034989697198"/>
          <c:w val="0.6205824435363605"/>
          <c:h val="0.67617256500273926"/>
        </c:manualLayout>
      </c:layout>
      <c:lineChart>
        <c:grouping val="standard"/>
        <c:varyColors val="0"/>
        <c:ser>
          <c:idx val="0"/>
          <c:order val="0"/>
          <c:tx>
            <c:strRef>
              <c:f>VESTALLE!$C$5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VESTALLE!$D$5:$O$5</c:f>
              <c:numCache>
                <c:formatCode>0.0%</c:formatCode>
                <c:ptCount val="12"/>
                <c:pt idx="0">
                  <c:v>0.58446519264326291</c:v>
                </c:pt>
                <c:pt idx="1">
                  <c:v>0.65823023144685444</c:v>
                </c:pt>
                <c:pt idx="2">
                  <c:v>0.57493314217304825</c:v>
                </c:pt>
                <c:pt idx="3">
                  <c:v>0.52687854488558572</c:v>
                </c:pt>
                <c:pt idx="4">
                  <c:v>0.59094510712548987</c:v>
                </c:pt>
                <c:pt idx="5">
                  <c:v>0.56342143431136193</c:v>
                </c:pt>
                <c:pt idx="6">
                  <c:v>0.56215673320119852</c:v>
                </c:pt>
                <c:pt idx="7">
                  <c:v>0.59583427878022555</c:v>
                </c:pt>
                <c:pt idx="8">
                  <c:v>0.60419979262225021</c:v>
                </c:pt>
                <c:pt idx="9">
                  <c:v>0.53807024713220153</c:v>
                </c:pt>
                <c:pt idx="10">
                  <c:v>0.5871483923622054</c:v>
                </c:pt>
                <c:pt idx="11">
                  <c:v>0.57372753865440862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VESTALLE!$C$12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VESTALLE!$D$12:$O$12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0632"/>
        <c:axId val="607511416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'[1]2013 Overall'!$D$3:$H$3</c:f>
              <c:numCache>
                <c:formatCode>General</c:formatCode>
                <c:ptCount val="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</c:numCache>
            </c:numRef>
          </c:cat>
          <c:val>
            <c:numRef>
              <c:f>VESTALLE!$D$17:$O$17</c:f>
              <c:numCache>
                <c:formatCode>#,##0</c:formatCode>
                <c:ptCount val="12"/>
                <c:pt idx="0">
                  <c:v>88.610238095238103</c:v>
                </c:pt>
                <c:pt idx="1">
                  <c:v>95.10060869565217</c:v>
                </c:pt>
                <c:pt idx="2">
                  <c:v>68.263153846153855</c:v>
                </c:pt>
                <c:pt idx="3">
                  <c:v>77.972499999999997</c:v>
                </c:pt>
                <c:pt idx="4">
                  <c:v>119.89912</c:v>
                </c:pt>
                <c:pt idx="5">
                  <c:v>115.63026086956522</c:v>
                </c:pt>
                <c:pt idx="6">
                  <c:v>124.58788461538461</c:v>
                </c:pt>
                <c:pt idx="7">
                  <c:v>147.96880769230768</c:v>
                </c:pt>
                <c:pt idx="8">
                  <c:v>134.31890000000001</c:v>
                </c:pt>
                <c:pt idx="9">
                  <c:v>106.29903703703704</c:v>
                </c:pt>
                <c:pt idx="10">
                  <c:v>97.384809523809523</c:v>
                </c:pt>
                <c:pt idx="11">
                  <c:v>99.894000000000005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2200"/>
        <c:axId val="607512592"/>
      </c:lineChart>
      <c:dateAx>
        <c:axId val="6075106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1416"/>
        <c:crosses val="autoZero"/>
        <c:auto val="1"/>
        <c:lblOffset val="100"/>
        <c:baseTimeUnit val="months"/>
      </c:dateAx>
      <c:valAx>
        <c:axId val="607511416"/>
        <c:scaling>
          <c:orientation val="minMax"/>
          <c:max val="0.85000000000000064"/>
          <c:min val="0.35000000000000031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1.8959596625629838E-2"/>
              <c:y val="0.41924950780493558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0632"/>
        <c:crosses val="autoZero"/>
        <c:crossBetween val="between"/>
      </c:valAx>
      <c:catAx>
        <c:axId val="6075122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7512592"/>
        <c:crosses val="autoZero"/>
        <c:auto val="1"/>
        <c:lblAlgn val="ctr"/>
        <c:lblOffset val="100"/>
        <c:noMultiLvlLbl val="0"/>
      </c:catAx>
      <c:valAx>
        <c:axId val="607512592"/>
        <c:scaling>
          <c:orientation val="minMax"/>
          <c:min val="60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day(US$ 000)</a:t>
                </a:r>
              </a:p>
            </c:rich>
          </c:tx>
          <c:layout>
            <c:manualLayout>
              <c:xMode val="edge"/>
              <c:yMode val="edge"/>
              <c:x val="0.79699157834245182"/>
              <c:y val="0.1778479608548985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220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164009359955382"/>
          <c:y val="0.25834491360038081"/>
          <c:w val="0.16262922473846952"/>
          <c:h val="0.51307439278912104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1028360054052"/>
          <c:y val="0.19546848213362653"/>
          <c:w val="0.62440055407489026"/>
          <c:h val="0.63309517015172745"/>
        </c:manualLayout>
      </c:layout>
      <c:lineChart>
        <c:grouping val="standard"/>
        <c:varyColors val="0"/>
        <c:ser>
          <c:idx val="0"/>
          <c:order val="0"/>
          <c:tx>
            <c:v>Subcon (Units)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VESTALLE!$D$20:$O$20</c:f>
              <c:numCache>
                <c:formatCode>#,##0</c:formatCode>
                <c:ptCount val="12"/>
                <c:pt idx="0">
                  <c:v>1649.0519999999999</c:v>
                </c:pt>
                <c:pt idx="1">
                  <c:v>664.21600000000001</c:v>
                </c:pt>
                <c:pt idx="2">
                  <c:v>1248.777</c:v>
                </c:pt>
                <c:pt idx="3">
                  <c:v>1074.8989999999999</c:v>
                </c:pt>
                <c:pt idx="4">
                  <c:v>974.06600000000003</c:v>
                </c:pt>
                <c:pt idx="5">
                  <c:v>788.05700000000002</c:v>
                </c:pt>
                <c:pt idx="6">
                  <c:v>1157.1869999999999</c:v>
                </c:pt>
                <c:pt idx="7">
                  <c:v>1529.289</c:v>
                </c:pt>
                <c:pt idx="8">
                  <c:v>1700.587</c:v>
                </c:pt>
                <c:pt idx="9">
                  <c:v>1056.375</c:v>
                </c:pt>
                <c:pt idx="10">
                  <c:v>195.88</c:v>
                </c:pt>
                <c:pt idx="11">
                  <c:v>668.56399999999996</c:v>
                </c:pt>
              </c:numCache>
            </c:numRef>
          </c:val>
          <c:smooth val="0"/>
        </c:ser>
        <c:ser>
          <c:idx val="1"/>
          <c:order val="1"/>
          <c:tx>
            <c:v>In-house (Units)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VESTALLE!$D$19:$O$19</c:f>
              <c:numCache>
                <c:formatCode>#,##0</c:formatCode>
                <c:ptCount val="12"/>
                <c:pt idx="0">
                  <c:v>443.06700000000001</c:v>
                </c:pt>
                <c:pt idx="1">
                  <c:v>320.28199999999998</c:v>
                </c:pt>
                <c:pt idx="2">
                  <c:v>493.44900000000001</c:v>
                </c:pt>
                <c:pt idx="3">
                  <c:v>325.39</c:v>
                </c:pt>
                <c:pt idx="4">
                  <c:v>314.34199999999998</c:v>
                </c:pt>
                <c:pt idx="5">
                  <c:v>469.8</c:v>
                </c:pt>
                <c:pt idx="6">
                  <c:v>563.10500000000002</c:v>
                </c:pt>
                <c:pt idx="7">
                  <c:v>915.74</c:v>
                </c:pt>
                <c:pt idx="8">
                  <c:v>882.13499999999999</c:v>
                </c:pt>
                <c:pt idx="9">
                  <c:v>736.36300000000006</c:v>
                </c:pt>
                <c:pt idx="10">
                  <c:v>160.78</c:v>
                </c:pt>
                <c:pt idx="11">
                  <c:v>527.95299999999997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7513376"/>
        <c:axId val="602844368"/>
      </c:lineChart>
      <c:lineChart>
        <c:grouping val="standard"/>
        <c:varyColors val="0"/>
        <c:ser>
          <c:idx val="2"/>
          <c:order val="2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VESTALLE!$D$4:$O$4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1624"/>
        <c:axId val="602844760"/>
      </c:lineChart>
      <c:dateAx>
        <c:axId val="60751337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4368"/>
        <c:crosses val="autoZero"/>
        <c:auto val="1"/>
        <c:lblOffset val="100"/>
        <c:baseTimeUnit val="months"/>
      </c:dateAx>
      <c:valAx>
        <c:axId val="602844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Units (000)</a:t>
                </a:r>
              </a:p>
            </c:rich>
          </c:tx>
          <c:layout>
            <c:manualLayout>
              <c:xMode val="edge"/>
              <c:yMode val="edge"/>
              <c:x val="1.1808600847970937E-2"/>
              <c:y val="0.463626009013024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7513376"/>
        <c:crosses val="autoZero"/>
        <c:crossBetween val="between"/>
      </c:valAx>
      <c:dateAx>
        <c:axId val="60284162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2844760"/>
        <c:crosses val="autoZero"/>
        <c:auto val="1"/>
        <c:lblOffset val="100"/>
        <c:baseTimeUnit val="months"/>
      </c:dateAx>
      <c:valAx>
        <c:axId val="6028447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Working days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162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356163941045835"/>
          <c:y val="0.26031997792540346"/>
          <c:w val="0.16283076923076917"/>
          <c:h val="0.52101702897498359"/>
        </c:manualLayout>
      </c:layout>
      <c:overlay val="0"/>
      <c:txPr>
        <a:bodyPr/>
        <a:lstStyle/>
        <a:p>
          <a:pPr>
            <a:defRPr lang="en-GB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[BS1+BS2]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96217653597057"/>
          <c:y val="0.16071179432209295"/>
          <c:w val="0.62488327515277264"/>
          <c:h val="0.64813054153689365"/>
        </c:manualLayout>
      </c:layout>
      <c:lineChart>
        <c:grouping val="standard"/>
        <c:varyColors val="0"/>
        <c:ser>
          <c:idx val="0"/>
          <c:order val="0"/>
          <c:tx>
            <c:strRef>
              <c:f>OVERALL!$C$31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OVERALL!$D$31:$O$31</c:f>
              <c:numCache>
                <c:formatCode>0.0%</c:formatCode>
                <c:ptCount val="12"/>
                <c:pt idx="0">
                  <c:v>0.48357539350143558</c:v>
                </c:pt>
                <c:pt idx="1">
                  <c:v>0.47910698709676397</c:v>
                </c:pt>
                <c:pt idx="2">
                  <c:v>0.4540883666970294</c:v>
                </c:pt>
                <c:pt idx="3">
                  <c:v>0.41130513216171327</c:v>
                </c:pt>
                <c:pt idx="4">
                  <c:v>0.41572358802664278</c:v>
                </c:pt>
                <c:pt idx="5">
                  <c:v>0.42895645396044357</c:v>
                </c:pt>
                <c:pt idx="6">
                  <c:v>0.3800721555865107</c:v>
                </c:pt>
                <c:pt idx="7">
                  <c:v>0.44161821902952514</c:v>
                </c:pt>
                <c:pt idx="8">
                  <c:v>0.41725530037697517</c:v>
                </c:pt>
                <c:pt idx="9">
                  <c:v>0.44931806778269401</c:v>
                </c:pt>
                <c:pt idx="10">
                  <c:v>0.38892273001725902</c:v>
                </c:pt>
                <c:pt idx="11">
                  <c:v>0.42523019448412269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OVERALL!$C$38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OVERALL!$D$38:$O$38</c:f>
              <c:numCache>
                <c:formatCode>0.000;_됀</c:formatCode>
                <c:ptCount val="12"/>
                <c:pt idx="0">
                  <c:v>0.46233962272583545</c:v>
                </c:pt>
                <c:pt idx="1">
                  <c:v>0.49868603205143247</c:v>
                </c:pt>
                <c:pt idx="2">
                  <c:v>0.51269293038316244</c:v>
                </c:pt>
                <c:pt idx="3">
                  <c:v>0.5097090067316159</c:v>
                </c:pt>
                <c:pt idx="4">
                  <c:v>0.49756071235833782</c:v>
                </c:pt>
                <c:pt idx="5">
                  <c:v>0.5121424716675661</c:v>
                </c:pt>
                <c:pt idx="6">
                  <c:v>0.50836481381543441</c:v>
                </c:pt>
                <c:pt idx="7">
                  <c:v>0.51241230437128982</c:v>
                </c:pt>
                <c:pt idx="8">
                  <c:v>0.51268213707501353</c:v>
                </c:pt>
                <c:pt idx="9">
                  <c:v>0.50620615218564491</c:v>
                </c:pt>
                <c:pt idx="10">
                  <c:v>0.4900161899622234</c:v>
                </c:pt>
                <c:pt idx="11">
                  <c:v>0.47868321640582839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1496"/>
        <c:axId val="480681888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OVERALL!$D$43:$O$43</c:f>
              <c:numCache>
                <c:formatCode>#,##0</c:formatCode>
                <c:ptCount val="12"/>
                <c:pt idx="0">
                  <c:v>247.64036376190475</c:v>
                </c:pt>
                <c:pt idx="1">
                  <c:v>259.12444195652176</c:v>
                </c:pt>
                <c:pt idx="2">
                  <c:v>256.64455192307685</c:v>
                </c:pt>
                <c:pt idx="3">
                  <c:v>259.00632525000003</c:v>
                </c:pt>
                <c:pt idx="4">
                  <c:v>232.84533719999999</c:v>
                </c:pt>
                <c:pt idx="5">
                  <c:v>250.86888604347823</c:v>
                </c:pt>
                <c:pt idx="6">
                  <c:v>253.01285269230769</c:v>
                </c:pt>
                <c:pt idx="7">
                  <c:v>301.85450000000003</c:v>
                </c:pt>
                <c:pt idx="8">
                  <c:v>237.96300000000002</c:v>
                </c:pt>
                <c:pt idx="9">
                  <c:v>232.58285185185184</c:v>
                </c:pt>
                <c:pt idx="10">
                  <c:v>210.78861904761902</c:v>
                </c:pt>
                <c:pt idx="11">
                  <c:v>197.66623076923076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2280"/>
        <c:axId val="480682672"/>
      </c:lineChart>
      <c:dateAx>
        <c:axId val="480681496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1888"/>
        <c:crosses val="autoZero"/>
        <c:auto val="1"/>
        <c:lblOffset val="100"/>
        <c:baseTimeUnit val="months"/>
      </c:dateAx>
      <c:valAx>
        <c:axId val="480681888"/>
        <c:scaling>
          <c:orientation val="minMax"/>
          <c:max val="0.58000000000000007"/>
          <c:min val="0.330000000000000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2.0004254812686629E-2"/>
              <c:y val="0.43955311635213851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1496"/>
        <c:crosses val="autoZero"/>
        <c:crossBetween val="between"/>
      </c:valAx>
      <c:dateAx>
        <c:axId val="480682280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0682672"/>
        <c:crosses val="autoZero"/>
        <c:auto val="1"/>
        <c:lblOffset val="100"/>
        <c:baseTimeUnit val="months"/>
      </c:dateAx>
      <c:valAx>
        <c:axId val="480682672"/>
        <c:scaling>
          <c:orientation val="minMax"/>
          <c:min val="150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 (US$ 000)</a:t>
                </a:r>
              </a:p>
            </c:rich>
          </c:tx>
          <c:layout>
            <c:manualLayout>
              <c:xMode val="edge"/>
              <c:yMode val="edge"/>
              <c:x val="0.80949115690380313"/>
              <c:y val="0.1431885084674474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2280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081747463363165"/>
          <c:y val="0.25471954757336429"/>
          <c:w val="0.15686844924398793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7692197055489284"/>
          <c:y val="0.21906101831244476"/>
          <c:w val="0.69159345490907165"/>
          <c:h val="0.62813775294251661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GB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'[1]2013 Overall'!$B$107:$B$108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VESTALLE!$R$19:$R$20</c:f>
              <c:numCache>
                <c:formatCode>0%</c:formatCode>
                <c:ptCount val="2"/>
                <c:pt idx="0">
                  <c:v>0.32623845110169009</c:v>
                </c:pt>
                <c:pt idx="1">
                  <c:v>0.67380068220272993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layout/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[BS3] - Style data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652321585120267E-2"/>
          <c:y val="0.16071179432209295"/>
          <c:w val="0.59545581052075425"/>
          <c:h val="0.66928256512525397"/>
        </c:manualLayout>
      </c:layout>
      <c:lineChart>
        <c:grouping val="standard"/>
        <c:varyColors val="0"/>
        <c:ser>
          <c:idx val="0"/>
          <c:order val="0"/>
          <c:tx>
            <c:strRef>
              <c:f>OVERALL!$C$33</c:f>
              <c:strCache>
                <c:ptCount val="1"/>
                <c:pt idx="0">
                  <c:v>No. of Different Styles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VESTALLE!$D$7:$O$7</c:f>
            </c:numRef>
          </c:val>
          <c:smooth val="0"/>
        </c:ser>
        <c:ser>
          <c:idx val="2"/>
          <c:order val="2"/>
          <c:tx>
            <c:strRef>
              <c:f>OVERALL!$C$34</c:f>
              <c:strCache>
                <c:ptCount val="1"/>
                <c:pt idx="0">
                  <c:v>No. of Style Changeovers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VESTALLE!$D$8:$O$8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1232"/>
        <c:axId val="602847896"/>
      </c:lineChart>
      <c:lineChart>
        <c:grouping val="standard"/>
        <c:varyColors val="0"/>
        <c:ser>
          <c:idx val="1"/>
          <c:order val="1"/>
          <c:tx>
            <c:strRef>
              <c:f>OVERALL!$C$35</c:f>
              <c:strCache>
                <c:ptCount val="1"/>
                <c:pt idx="0">
                  <c:v>Ave pieces per Style (000)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VESTALLE!$D$9:$O$9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5152"/>
        <c:axId val="602847112"/>
      </c:lineChart>
      <c:catAx>
        <c:axId val="60284123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7896"/>
        <c:crosses val="autoZero"/>
        <c:auto val="1"/>
        <c:lblAlgn val="ctr"/>
        <c:lblOffset val="100"/>
        <c:noMultiLvlLbl val="1"/>
      </c:catAx>
      <c:valAx>
        <c:axId val="6028478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Different styles / style changeovers</a:t>
                </a:r>
              </a:p>
            </c:rich>
          </c:tx>
          <c:layout>
            <c:manualLayout>
              <c:xMode val="edge"/>
              <c:yMode val="edge"/>
              <c:x val="1.3982788546736742E-2"/>
              <c:y val="0.1868370727917235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1232"/>
        <c:crosses val="autoZero"/>
        <c:crossBetween val="between"/>
      </c:valAx>
      <c:catAx>
        <c:axId val="602845152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2847112"/>
        <c:crosses val="autoZero"/>
        <c:auto val="1"/>
        <c:lblAlgn val="ctr"/>
        <c:lblOffset val="100"/>
        <c:noMultiLvlLbl val="1"/>
      </c:catAx>
      <c:valAx>
        <c:axId val="60284711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pieces</a:t>
                </a:r>
                <a:r>
                  <a:rPr lang="en-GB" sz="1400" baseline="0"/>
                  <a:t> produced per style (000)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73256218985921873"/>
              <c:y val="0.14902033085832089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5152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77449460868404041"/>
          <c:y val="0.22847619701432637"/>
          <c:w val="0.21133742957661994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YTI [STX 2]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56232265575796"/>
          <c:y val="0.18574181537308695"/>
          <c:w val="0.64538174647248803"/>
          <c:h val="0.63687290498460569"/>
        </c:manualLayout>
      </c:layout>
      <c:lineChart>
        <c:grouping val="standard"/>
        <c:varyColors val="0"/>
        <c:ser>
          <c:idx val="0"/>
          <c:order val="0"/>
          <c:tx>
            <c:strRef>
              <c:f>YTI!$C$5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YTI!$D$3:$O$3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YTI!$D$5:$O$5</c:f>
              <c:numCache>
                <c:formatCode>0.0%</c:formatCode>
                <c:ptCount val="12"/>
                <c:pt idx="0">
                  <c:v>0.31612385017063444</c:v>
                </c:pt>
                <c:pt idx="1">
                  <c:v>0.26441341027967036</c:v>
                </c:pt>
                <c:pt idx="2">
                  <c:v>0.33106218299266876</c:v>
                </c:pt>
                <c:pt idx="3">
                  <c:v>0.45052710945282975</c:v>
                </c:pt>
                <c:pt idx="4">
                  <c:v>0.39940684280665173</c:v>
                </c:pt>
                <c:pt idx="5">
                  <c:v>0.42913684318083123</c:v>
                </c:pt>
                <c:pt idx="6">
                  <c:v>0.44915404248312196</c:v>
                </c:pt>
                <c:pt idx="7">
                  <c:v>0.53844899728692341</c:v>
                </c:pt>
                <c:pt idx="8">
                  <c:v>0.35760392129113677</c:v>
                </c:pt>
                <c:pt idx="9">
                  <c:v>0.40232814496636032</c:v>
                </c:pt>
                <c:pt idx="10">
                  <c:v>0.43149404529480678</c:v>
                </c:pt>
                <c:pt idx="11">
                  <c:v>0.50798720871569891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YTI!$C$12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YTI!$D$3:$O$3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YTI!$D$12:$O$12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2408"/>
        <c:axId val="602845936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'[1]2013 Overall'!$D$3:$H$3</c:f>
              <c:numCache>
                <c:formatCode>General</c:formatCode>
                <c:ptCount val="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</c:numCache>
            </c:numRef>
          </c:cat>
          <c:val>
            <c:numRef>
              <c:f>YTI!$D$17:$O$17</c:f>
              <c:numCache>
                <c:formatCode>#,##0</c:formatCode>
                <c:ptCount val="12"/>
                <c:pt idx="0">
                  <c:v>10.228408095238093</c:v>
                </c:pt>
                <c:pt idx="1">
                  <c:v>12.980930434782611</c:v>
                </c:pt>
                <c:pt idx="2">
                  <c:v>17.55360846153846</c:v>
                </c:pt>
                <c:pt idx="3">
                  <c:v>24.001195499999998</c:v>
                </c:pt>
                <c:pt idx="4">
                  <c:v>29.183817600000001</c:v>
                </c:pt>
                <c:pt idx="5">
                  <c:v>43.266304347826086</c:v>
                </c:pt>
                <c:pt idx="6">
                  <c:v>37.199115384615382</c:v>
                </c:pt>
                <c:pt idx="7">
                  <c:v>46.878418461538452</c:v>
                </c:pt>
                <c:pt idx="8">
                  <c:v>30.146047499999998</c:v>
                </c:pt>
                <c:pt idx="9">
                  <c:v>50.366884074074079</c:v>
                </c:pt>
                <c:pt idx="10">
                  <c:v>67.081321904761907</c:v>
                </c:pt>
                <c:pt idx="11">
                  <c:v>69.792782592592602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7504"/>
        <c:axId val="602848288"/>
      </c:lineChart>
      <c:dateAx>
        <c:axId val="6028424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5936"/>
        <c:crosses val="autoZero"/>
        <c:auto val="1"/>
        <c:lblOffset val="100"/>
        <c:baseTimeUnit val="months"/>
      </c:dateAx>
      <c:valAx>
        <c:axId val="602845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1.2851023525432497E-2"/>
              <c:y val="0.452097160934998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2408"/>
        <c:crosses val="autoZero"/>
        <c:crossBetween val="between"/>
      </c:valAx>
      <c:catAx>
        <c:axId val="6028475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848288"/>
        <c:crosses val="autoZero"/>
        <c:auto val="1"/>
        <c:lblAlgn val="ctr"/>
        <c:lblOffset val="100"/>
        <c:noMultiLvlLbl val="0"/>
      </c:catAx>
      <c:valAx>
        <c:axId val="602848288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day(US$)</a:t>
                </a:r>
              </a:p>
            </c:rich>
          </c:tx>
          <c:layout>
            <c:manualLayout>
              <c:xMode val="edge"/>
              <c:yMode val="edge"/>
              <c:x val="0.79588166194977428"/>
              <c:y val="0.23244809896637783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750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83511757806595"/>
          <c:y val="0.2792631430457207"/>
          <c:w val="0.15643447203301664"/>
          <c:h val="0.5058336310813969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YTI [STX 2] - Style data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2652321585120267E-2"/>
          <c:y val="0.16071179432209295"/>
          <c:w val="0.65554270471052045"/>
          <c:h val="0.64813054153689365"/>
        </c:manualLayout>
      </c:layout>
      <c:lineChart>
        <c:grouping val="standard"/>
        <c:varyColors val="0"/>
        <c:ser>
          <c:idx val="0"/>
          <c:order val="0"/>
          <c:tx>
            <c:strRef>
              <c:f>OVERALL!$C$33</c:f>
              <c:strCache>
                <c:ptCount val="1"/>
                <c:pt idx="0">
                  <c:v>No. of Different Styles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YTI!$D$7:$O$7</c:f>
            </c:numRef>
          </c:val>
          <c:smooth val="0"/>
        </c:ser>
        <c:ser>
          <c:idx val="2"/>
          <c:order val="2"/>
          <c:tx>
            <c:strRef>
              <c:f>OVERALL!$C$34</c:f>
              <c:strCache>
                <c:ptCount val="1"/>
                <c:pt idx="0">
                  <c:v>No. of Style Changeovers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YTI!$D$8:$O$8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2800"/>
        <c:axId val="602845544"/>
      </c:lineChart>
      <c:lineChart>
        <c:grouping val="standard"/>
        <c:varyColors val="0"/>
        <c:ser>
          <c:idx val="1"/>
          <c:order val="1"/>
          <c:tx>
            <c:strRef>
              <c:f>OVERALL!$C$35</c:f>
              <c:strCache>
                <c:ptCount val="1"/>
                <c:pt idx="0">
                  <c:v>Ave pieces per Style (000)</c:v>
                </c:pt>
              </c:strCache>
            </c:strRef>
          </c:tx>
          <c:spPr>
            <a:ln>
              <a:solidFill>
                <a:schemeClr val="bg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YTI!$D$9:$O$9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43584"/>
        <c:axId val="602848680"/>
      </c:lineChart>
      <c:catAx>
        <c:axId val="6028428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5544"/>
        <c:crosses val="autoZero"/>
        <c:auto val="1"/>
        <c:lblAlgn val="ctr"/>
        <c:lblOffset val="100"/>
        <c:noMultiLvlLbl val="1"/>
      </c:catAx>
      <c:valAx>
        <c:axId val="6028455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Different styles / style changeovers</a:t>
                </a:r>
              </a:p>
            </c:rich>
          </c:tx>
          <c:layout>
            <c:manualLayout>
              <c:xMode val="edge"/>
              <c:yMode val="edge"/>
              <c:x val="1.3982788546736742E-2"/>
              <c:y val="0.1868370727917235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2800"/>
        <c:crosses val="autoZero"/>
        <c:crossBetween val="between"/>
      </c:valAx>
      <c:catAx>
        <c:axId val="60284358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2848680"/>
        <c:crosses val="autoZero"/>
        <c:auto val="1"/>
        <c:lblAlgn val="ctr"/>
        <c:lblOffset val="100"/>
        <c:noMultiLvlLbl val="1"/>
      </c:catAx>
      <c:valAx>
        <c:axId val="60284868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pieces</a:t>
                </a:r>
                <a:r>
                  <a:rPr lang="en-GB" sz="1400" baseline="0"/>
                  <a:t> produced per style (000)</a:t>
                </a:r>
                <a:endParaRPr lang="en-GB" sz="1400"/>
              </a:p>
            </c:rich>
          </c:tx>
          <c:layout>
            <c:manualLayout>
              <c:xMode val="edge"/>
              <c:yMode val="edge"/>
              <c:x val="0.79380160828158353"/>
              <c:y val="0.15193625199436378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4358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911911399994653"/>
          <c:y val="0.22847619701432637"/>
          <c:w val="0.15671293687735649"/>
          <c:h val="0.5099950187389196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YTI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8.7527216706607333E-2"/>
          <c:y val="0.19546848213362653"/>
          <c:w val="0.69875465023393812"/>
          <c:h val="0.63309517015172745"/>
        </c:manualLayout>
      </c:layout>
      <c:lineChart>
        <c:grouping val="standard"/>
        <c:varyColors val="0"/>
        <c:ser>
          <c:idx val="1"/>
          <c:order val="0"/>
          <c:tx>
            <c:v>In-house (Units)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YTI!$D$19:$O$19</c:f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14200"/>
        <c:axId val="215209496"/>
      </c:lineChart>
      <c:lineChart>
        <c:grouping val="standard"/>
        <c:varyColors val="0"/>
        <c:ser>
          <c:idx val="2"/>
          <c:order val="1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numRef>
              <c:f>VESTALLE!$D$3:$O$3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VESTALLE!$D$4:$O$4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5207928"/>
        <c:axId val="215209104"/>
      </c:lineChart>
      <c:catAx>
        <c:axId val="21521420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5209496"/>
        <c:crosses val="autoZero"/>
        <c:auto val="1"/>
        <c:lblAlgn val="ctr"/>
        <c:lblOffset val="100"/>
        <c:noMultiLvlLbl val="1"/>
      </c:catAx>
      <c:valAx>
        <c:axId val="21520949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Units (000)</a:t>
                </a:r>
              </a:p>
            </c:rich>
          </c:tx>
          <c:layout>
            <c:manualLayout>
              <c:xMode val="edge"/>
              <c:yMode val="edge"/>
              <c:x val="1.1808600847970937E-2"/>
              <c:y val="0.463626009013024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5214200"/>
        <c:crosses val="autoZero"/>
        <c:crossBetween val="between"/>
      </c:valAx>
      <c:dateAx>
        <c:axId val="21520792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215209104"/>
        <c:crosses val="autoZero"/>
        <c:auto val="1"/>
        <c:lblOffset val="100"/>
        <c:baseTimeUnit val="months"/>
      </c:dateAx>
      <c:valAx>
        <c:axId val="21520910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Working days per month</a:t>
                </a:r>
              </a:p>
            </c:rich>
          </c:tx>
          <c:layout>
            <c:manualLayout>
              <c:xMode val="edge"/>
              <c:yMode val="edge"/>
              <c:x val="0.82467750770284154"/>
              <c:y val="0.3001924913257403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520792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5967123131347722"/>
          <c:y val="0.26661821528826957"/>
          <c:w val="0.13541689599190845"/>
          <c:h val="0.52101702897498359"/>
        </c:manualLayout>
      </c:layout>
      <c:overlay val="0"/>
      <c:txPr>
        <a:bodyPr/>
        <a:lstStyle/>
        <a:p>
          <a:pPr>
            <a:defRPr lang="en-GB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OSG [TOTAL In-house Production]</a:t>
            </a:r>
            <a:endParaRPr lang="en-GB" sz="14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829953642585616"/>
          <c:y val="0.16071179432209295"/>
          <c:w val="0.62514317251231"/>
          <c:h val="0.6536808306943872"/>
        </c:manualLayout>
      </c:layout>
      <c:lineChart>
        <c:grouping val="standard"/>
        <c:varyColors val="0"/>
        <c:ser>
          <c:idx val="0"/>
          <c:order val="0"/>
          <c:tx>
            <c:v>Efficiency</c:v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OVERALL!$D$70:$O$70</c:f>
              <c:numCache>
                <c:formatCode>0.0%</c:formatCode>
                <c:ptCount val="12"/>
                <c:pt idx="0">
                  <c:v>0.49350570133427685</c:v>
                </c:pt>
                <c:pt idx="1">
                  <c:v>0.49888057743394404</c:v>
                </c:pt>
                <c:pt idx="2">
                  <c:v>0.46657577693858038</c:v>
                </c:pt>
                <c:pt idx="3">
                  <c:v>0.43842127584904594</c:v>
                </c:pt>
                <c:pt idx="4">
                  <c:v>0.45537622991636895</c:v>
                </c:pt>
                <c:pt idx="5">
                  <c:v>0.46228599313896146</c:v>
                </c:pt>
                <c:pt idx="6">
                  <c:v>0.43460769802747268</c:v>
                </c:pt>
                <c:pt idx="7">
                  <c:v>0.49206407846905292</c:v>
                </c:pt>
                <c:pt idx="8">
                  <c:v>0.45933912296960122</c:v>
                </c:pt>
                <c:pt idx="9">
                  <c:v>0.46645760906227984</c:v>
                </c:pt>
                <c:pt idx="10">
                  <c:v>0.44668586960699691</c:v>
                </c:pt>
                <c:pt idx="11">
                  <c:v>0.47765723988811082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OVERALL!$C$38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OVERALL!$D$77:$O$77</c:f>
              <c:numCache>
                <c:formatCode>0.000;_됀</c:formatCode>
                <c:ptCount val="12"/>
                <c:pt idx="0">
                  <c:v>0.44348394247333783</c:v>
                </c:pt>
                <c:pt idx="1">
                  <c:v>0.47136876426158675</c:v>
                </c:pt>
                <c:pt idx="2">
                  <c:v>0.48286620199378749</c:v>
                </c:pt>
                <c:pt idx="3">
                  <c:v>0.4805042540911883</c:v>
                </c:pt>
                <c:pt idx="4">
                  <c:v>0.5029419321207157</c:v>
                </c:pt>
                <c:pt idx="5">
                  <c:v>0.52659221838450576</c:v>
                </c:pt>
                <c:pt idx="6">
                  <c:v>0.52845608211162176</c:v>
                </c:pt>
                <c:pt idx="7">
                  <c:v>0.53663559459176902</c:v>
                </c:pt>
                <c:pt idx="8">
                  <c:v>0.52685616145067304</c:v>
                </c:pt>
                <c:pt idx="9">
                  <c:v>0.54545454545454541</c:v>
                </c:pt>
                <c:pt idx="10">
                  <c:v>0.54227095861337105</c:v>
                </c:pt>
                <c:pt idx="11">
                  <c:v>0.54916873010258227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22120"/>
        <c:axId val="492020552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OVERALL!$D$82:$O$82</c:f>
              <c:numCache>
                <c:formatCode>#,##0</c:formatCode>
                <c:ptCount val="12"/>
                <c:pt idx="0">
                  <c:v>346.47900995238098</c:v>
                </c:pt>
                <c:pt idx="1">
                  <c:v>367.20598108695657</c:v>
                </c:pt>
                <c:pt idx="2">
                  <c:v>342.46131423076918</c:v>
                </c:pt>
                <c:pt idx="3">
                  <c:v>360.98002074999999</c:v>
                </c:pt>
                <c:pt idx="4">
                  <c:v>381.92827480000005</c:v>
                </c:pt>
                <c:pt idx="5">
                  <c:v>409.76545126086961</c:v>
                </c:pt>
                <c:pt idx="6">
                  <c:v>414.7998526923077</c:v>
                </c:pt>
                <c:pt idx="7">
                  <c:v>496.7017261538461</c:v>
                </c:pt>
                <c:pt idx="8">
                  <c:v>402.42794749999996</c:v>
                </c:pt>
                <c:pt idx="9">
                  <c:v>389.24877296296296</c:v>
                </c:pt>
                <c:pt idx="10">
                  <c:v>375.25475047619045</c:v>
                </c:pt>
                <c:pt idx="11">
                  <c:v>370.03735115384615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20944"/>
        <c:axId val="492022904"/>
      </c:lineChart>
      <c:dateAx>
        <c:axId val="492022120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20552"/>
        <c:crosses val="autoZero"/>
        <c:auto val="1"/>
        <c:lblOffset val="100"/>
        <c:baseTimeUnit val="months"/>
      </c:dateAx>
      <c:valAx>
        <c:axId val="492020552"/>
        <c:scaling>
          <c:orientation val="minMax"/>
          <c:max val="0.63000000000000078"/>
          <c:min val="0.33000000000000046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6.7558369481574157E-3"/>
              <c:y val="0.3947379471500422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22120"/>
        <c:crosses val="autoZero"/>
        <c:crossBetween val="between"/>
      </c:valAx>
      <c:dateAx>
        <c:axId val="492020944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92022904"/>
        <c:crosses val="autoZero"/>
        <c:auto val="1"/>
        <c:lblOffset val="100"/>
        <c:baseTimeUnit val="months"/>
      </c:dateAx>
      <c:valAx>
        <c:axId val="492022904"/>
        <c:scaling>
          <c:orientation val="minMax"/>
          <c:min val="200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 (US$ 000)</a:t>
                </a:r>
              </a:p>
            </c:rich>
          </c:tx>
          <c:layout>
            <c:manualLayout>
              <c:xMode val="edge"/>
              <c:yMode val="edge"/>
              <c:x val="0.80234197013167963"/>
              <c:y val="0.1415978945032395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20944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841096751717203"/>
          <c:y val="0.24858782376716251"/>
          <c:w val="0.15585823649788086"/>
          <c:h val="0.49263632113282851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YTI [STX 2]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: JAN 2014 -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656232265575796"/>
          <c:y val="0.18574181537308695"/>
          <c:w val="0.64538174647248803"/>
          <c:h val="0.63687290498460569"/>
        </c:manualLayout>
      </c:layout>
      <c:lineChart>
        <c:grouping val="standard"/>
        <c:varyColors val="0"/>
        <c:ser>
          <c:idx val="0"/>
          <c:order val="0"/>
          <c:tx>
            <c:strRef>
              <c:f>OVERALL!$C$57</c:f>
              <c:strCache>
                <c:ptCount val="1"/>
                <c:pt idx="0">
                  <c:v>Efficiency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OVERALL!$D$57:$O$57</c:f>
              <c:numCache>
                <c:formatCode>0.0%</c:formatCode>
                <c:ptCount val="12"/>
                <c:pt idx="0">
                  <c:v>0.31612385017063444</c:v>
                </c:pt>
                <c:pt idx="1">
                  <c:v>0.26441341027967036</c:v>
                </c:pt>
                <c:pt idx="2">
                  <c:v>0.33106218299266876</c:v>
                </c:pt>
                <c:pt idx="3">
                  <c:v>0.45052710945282975</c:v>
                </c:pt>
                <c:pt idx="4">
                  <c:v>0.39940684280665173</c:v>
                </c:pt>
                <c:pt idx="5">
                  <c:v>0.42913684318083123</c:v>
                </c:pt>
                <c:pt idx="6">
                  <c:v>0.44915404248312196</c:v>
                </c:pt>
                <c:pt idx="7">
                  <c:v>0.53844899728692341</c:v>
                </c:pt>
                <c:pt idx="8">
                  <c:v>0.35760392129113677</c:v>
                </c:pt>
                <c:pt idx="9">
                  <c:v>0.40232814496636032</c:v>
                </c:pt>
                <c:pt idx="10">
                  <c:v>0.43149404529480678</c:v>
                </c:pt>
                <c:pt idx="11">
                  <c:v>0.50798720871569891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OVERALL!$C$38</c:f>
              <c:strCache>
                <c:ptCount val="1"/>
                <c:pt idx="0">
                  <c:v>No of sewers (Standardised)</c:v>
                </c:pt>
              </c:strCache>
            </c:strRef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OVERALL!$D$64:$O$64</c:f>
              <c:numCache>
                <c:formatCode>0.000;_됀</c:formatCode>
                <c:ptCount val="12"/>
                <c:pt idx="0">
                  <c:v>0.3089191232048375</c:v>
                </c:pt>
                <c:pt idx="1">
                  <c:v>0.36438923395445133</c:v>
                </c:pt>
                <c:pt idx="2">
                  <c:v>0.43009523809523809</c:v>
                </c:pt>
                <c:pt idx="3">
                  <c:v>0.45964912280701753</c:v>
                </c:pt>
                <c:pt idx="4">
                  <c:v>0.49644444444444441</c:v>
                </c:pt>
                <c:pt idx="5">
                  <c:v>0.4777777777777778</c:v>
                </c:pt>
                <c:pt idx="6">
                  <c:v>0.46825396825396826</c:v>
                </c:pt>
                <c:pt idx="7">
                  <c:v>0.49902319902319897</c:v>
                </c:pt>
                <c:pt idx="8">
                  <c:v>0.473015873015873</c:v>
                </c:pt>
                <c:pt idx="9">
                  <c:v>0.64126984126984132</c:v>
                </c:pt>
                <c:pt idx="10">
                  <c:v>0.67460317460317465</c:v>
                </c:pt>
                <c:pt idx="11">
                  <c:v>0.70317460317460323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22512"/>
        <c:axId val="492019768"/>
      </c:lineChart>
      <c:lineChart>
        <c:grouping val="standard"/>
        <c:varyColors val="0"/>
        <c:ser>
          <c:idx val="1"/>
          <c:order val="1"/>
          <c:tx>
            <c:v>Ave. FOB per Working day</c:v>
          </c:tx>
          <c:marker>
            <c:symbol val="none"/>
          </c:marker>
          <c:cat>
            <c:numRef>
              <c:f>'[1]2013 Overall'!$D$3:$H$3</c:f>
              <c:numCache>
                <c:formatCode>General</c:formatCode>
                <c:ptCount val="5"/>
                <c:pt idx="0">
                  <c:v>41395</c:v>
                </c:pt>
                <c:pt idx="1">
                  <c:v>41426</c:v>
                </c:pt>
                <c:pt idx="2">
                  <c:v>41456</c:v>
                </c:pt>
                <c:pt idx="3">
                  <c:v>41487</c:v>
                </c:pt>
                <c:pt idx="4">
                  <c:v>41518</c:v>
                </c:pt>
              </c:numCache>
            </c:numRef>
          </c:cat>
          <c:val>
            <c:numRef>
              <c:f>OVERALL!$D$69:$O$69</c:f>
              <c:numCache>
                <c:formatCode>#,##0</c:formatCode>
                <c:ptCount val="12"/>
                <c:pt idx="0">
                  <c:v>10.228408095238093</c:v>
                </c:pt>
                <c:pt idx="1">
                  <c:v>12.980930434782611</c:v>
                </c:pt>
                <c:pt idx="2">
                  <c:v>17.55360846153846</c:v>
                </c:pt>
                <c:pt idx="3">
                  <c:v>24.001195499999998</c:v>
                </c:pt>
                <c:pt idx="4">
                  <c:v>29.183817600000001</c:v>
                </c:pt>
                <c:pt idx="5">
                  <c:v>43.266304347826086</c:v>
                </c:pt>
                <c:pt idx="6">
                  <c:v>37.199115384615382</c:v>
                </c:pt>
                <c:pt idx="7">
                  <c:v>46.878418461538452</c:v>
                </c:pt>
                <c:pt idx="8">
                  <c:v>30.146047499999998</c:v>
                </c:pt>
                <c:pt idx="9">
                  <c:v>50.366884074074079</c:v>
                </c:pt>
                <c:pt idx="10">
                  <c:v>67.081321904761907</c:v>
                </c:pt>
                <c:pt idx="11">
                  <c:v>69.792782592592602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2023296"/>
        <c:axId val="492020160"/>
      </c:lineChart>
      <c:dateAx>
        <c:axId val="49202251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19768"/>
        <c:crosses val="autoZero"/>
        <c:auto val="1"/>
        <c:lblOffset val="100"/>
        <c:baseTimeUnit val="months"/>
      </c:dateAx>
      <c:valAx>
        <c:axId val="4920197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Efficiency</a:t>
                </a:r>
              </a:p>
            </c:rich>
          </c:tx>
          <c:layout>
            <c:manualLayout>
              <c:xMode val="edge"/>
              <c:yMode val="edge"/>
              <c:x val="1.2851023525432497E-2"/>
              <c:y val="0.4520971609349983"/>
            </c:manualLayout>
          </c:layout>
          <c:overlay val="0"/>
        </c:title>
        <c:numFmt formatCode="0.0%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22512"/>
        <c:crosses val="autoZero"/>
        <c:crossBetween val="between"/>
      </c:valAx>
      <c:catAx>
        <c:axId val="4920232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2020160"/>
        <c:crosses val="autoZero"/>
        <c:auto val="1"/>
        <c:lblAlgn val="ctr"/>
        <c:lblOffset val="100"/>
        <c:noMultiLvlLbl val="0"/>
      </c:catAx>
      <c:valAx>
        <c:axId val="492020160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Average FOB per Working day(US$)</a:t>
                </a:r>
              </a:p>
            </c:rich>
          </c:tx>
          <c:layout>
            <c:manualLayout>
              <c:xMode val="edge"/>
              <c:yMode val="edge"/>
              <c:x val="0.80825533877880151"/>
              <c:y val="0.23244817812490887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920232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3783511757806595"/>
          <c:y val="0.2792631430457207"/>
          <c:w val="0.15643447203301664"/>
          <c:h val="0.5058336310813969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SHIPPED</a:t>
            </a: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0960489022725012"/>
          <c:y val="0.19545944195045281"/>
          <c:w val="0.70536511959189163"/>
          <c:h val="0.60802827666320081"/>
        </c:manualLayout>
      </c:layout>
      <c:lineChart>
        <c:grouping val="standard"/>
        <c:varyColors val="0"/>
        <c:ser>
          <c:idx val="1"/>
          <c:order val="0"/>
          <c:tx>
            <c:v>In-house (Units)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OVERALL!$D$3:$L$3</c:f>
              <c:numCache>
                <c:formatCode>[$-409]mmm\-yy;@</c:formatCode>
                <c:ptCount val="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</c:numCache>
            </c:numRef>
          </c:cat>
          <c:val>
            <c:numRef>
              <c:f>OVERALL!$D$100:$P$100</c:f>
              <c:numCache>
                <c:formatCode>#,##0</c:formatCode>
                <c:ptCount val="13"/>
                <c:pt idx="0">
                  <c:v>1820.8009999999999</c:v>
                </c:pt>
                <c:pt idx="1">
                  <c:v>1478.0789999999997</c:v>
                </c:pt>
                <c:pt idx="2">
                  <c:v>1756.193</c:v>
                </c:pt>
                <c:pt idx="3">
                  <c:v>1871.6619999999998</c:v>
                </c:pt>
                <c:pt idx="4">
                  <c:v>2147.67</c:v>
                </c:pt>
                <c:pt idx="5">
                  <c:v>2097.107</c:v>
                </c:pt>
                <c:pt idx="6">
                  <c:v>1901.989</c:v>
                </c:pt>
                <c:pt idx="7">
                  <c:v>2441.6439999999998</c:v>
                </c:pt>
                <c:pt idx="8">
                  <c:v>1565.405</c:v>
                </c:pt>
                <c:pt idx="9">
                  <c:v>1664.585</c:v>
                </c:pt>
                <c:pt idx="10">
                  <c:v>1139.954</c:v>
                </c:pt>
                <c:pt idx="11">
                  <c:v>2139.8209999999999</c:v>
                </c:pt>
                <c:pt idx="12">
                  <c:v>21368.294000000002</c:v>
                </c:pt>
              </c:numCache>
            </c:numRef>
          </c:val>
          <c:smooth val="0"/>
        </c:ser>
        <c:ser>
          <c:idx val="0"/>
          <c:order val="1"/>
          <c:tx>
            <c:v>Subcon (Units)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OVERALL!$D$3:$L$3</c:f>
              <c:numCache>
                <c:formatCode>[$-409]mmm\-yy;@</c:formatCode>
                <c:ptCount val="9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</c:numCache>
            </c:numRef>
          </c:cat>
          <c:val>
            <c:numRef>
              <c:f>OVERALL!$D$101:$P$101</c:f>
              <c:numCache>
                <c:formatCode>#,##0</c:formatCode>
                <c:ptCount val="13"/>
                <c:pt idx="0">
                  <c:v>1817.5529999999999</c:v>
                </c:pt>
                <c:pt idx="1">
                  <c:v>692.74400000000003</c:v>
                </c:pt>
                <c:pt idx="2">
                  <c:v>1248.777</c:v>
                </c:pt>
                <c:pt idx="3">
                  <c:v>1288.2449999999999</c:v>
                </c:pt>
                <c:pt idx="4">
                  <c:v>979.61800000000005</c:v>
                </c:pt>
                <c:pt idx="5">
                  <c:v>884.19900000000007</c:v>
                </c:pt>
                <c:pt idx="6">
                  <c:v>1587.895</c:v>
                </c:pt>
                <c:pt idx="7">
                  <c:v>1742.5830000000001</c:v>
                </c:pt>
                <c:pt idx="8">
                  <c:v>1856.684</c:v>
                </c:pt>
                <c:pt idx="9">
                  <c:v>1367.1590000000001</c:v>
                </c:pt>
                <c:pt idx="10">
                  <c:v>268.45400000000001</c:v>
                </c:pt>
                <c:pt idx="11">
                  <c:v>914.97499999999991</c:v>
                </c:pt>
                <c:pt idx="12">
                  <c:v>14648.886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5208"/>
        <c:axId val="480684816"/>
      </c:lineChart>
      <c:lineChart>
        <c:grouping val="standard"/>
        <c:varyColors val="0"/>
        <c:ser>
          <c:idx val="2"/>
          <c:order val="2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strRef>
              <c:f>OVERALL!$D$3:$P$3</c:f>
              <c:strCache>
                <c:ptCount val="13"/>
                <c:pt idx="0">
                  <c:v>Jan-14</c:v>
                </c:pt>
                <c:pt idx="1">
                  <c:v>Feb-14</c:v>
                </c:pt>
                <c:pt idx="2">
                  <c:v>Mar-14</c:v>
                </c:pt>
                <c:pt idx="3">
                  <c:v>Apr-14</c:v>
                </c:pt>
                <c:pt idx="4">
                  <c:v>May-14</c:v>
                </c:pt>
                <c:pt idx="5">
                  <c:v>Jun-14</c:v>
                </c:pt>
                <c:pt idx="6">
                  <c:v>Jul-14</c:v>
                </c:pt>
                <c:pt idx="7">
                  <c:v>Aug-14</c:v>
                </c:pt>
                <c:pt idx="8">
                  <c:v>Sep-14</c:v>
                </c:pt>
                <c:pt idx="9">
                  <c:v>Oct-14</c:v>
                </c:pt>
                <c:pt idx="10">
                  <c:v>Nov-14</c:v>
                </c:pt>
                <c:pt idx="11">
                  <c:v>Dec-14</c:v>
                </c:pt>
                <c:pt idx="12">
                  <c:v>TOTAL</c:v>
                </c:pt>
              </c:strCache>
            </c:strRef>
          </c:cat>
          <c:val>
            <c:numRef>
              <c:f>OVERALL!$D$4:$P$4</c:f>
              <c:numCache>
                <c:formatCode>General</c:formatCode>
                <c:ptCount val="13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  <c:pt idx="12">
                  <c:v>284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6776"/>
        <c:axId val="480687952"/>
      </c:lineChart>
      <c:dateAx>
        <c:axId val="480685208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4816"/>
        <c:crosses val="autoZero"/>
        <c:auto val="1"/>
        <c:lblOffset val="100"/>
        <c:baseTimeUnit val="months"/>
      </c:dateAx>
      <c:valAx>
        <c:axId val="48068481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Units (000)</a:t>
                </a:r>
              </a:p>
            </c:rich>
          </c:tx>
          <c:layout>
            <c:manualLayout>
              <c:xMode val="edge"/>
              <c:yMode val="edge"/>
              <c:x val="6.3388473078795412E-3"/>
              <c:y val="0.3905914022060934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5208"/>
        <c:crosses val="autoZero"/>
        <c:crossBetween val="between"/>
      </c:valAx>
      <c:catAx>
        <c:axId val="480686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80687952"/>
        <c:crosses val="autoZero"/>
        <c:auto val="1"/>
        <c:lblAlgn val="ctr"/>
        <c:lblOffset val="100"/>
        <c:noMultiLvlLbl val="0"/>
      </c:catAx>
      <c:valAx>
        <c:axId val="480687952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4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400"/>
                  <a:t>Working days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4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677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7893540185530961"/>
          <c:y val="0.26319418776626641"/>
          <c:w val="0.11257336351749268"/>
          <c:h val="0.54795246654302365"/>
        </c:manualLayout>
      </c:layout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271028360054052"/>
          <c:y val="0.19546848213362653"/>
          <c:w val="0.62440055407489026"/>
          <c:h val="0.63309517015172745"/>
        </c:manualLayout>
      </c:layout>
      <c:lineChart>
        <c:grouping val="standard"/>
        <c:varyColors val="0"/>
        <c:ser>
          <c:idx val="0"/>
          <c:order val="0"/>
          <c:tx>
            <c:v>Subcon (Units)</c:v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OVERALL!$D$84:$O$84</c:f>
              <c:numCache>
                <c:formatCode>#,##0</c:formatCode>
                <c:ptCount val="12"/>
                <c:pt idx="0">
                  <c:v>1649.0519999999999</c:v>
                </c:pt>
                <c:pt idx="1">
                  <c:v>664.21600000000001</c:v>
                </c:pt>
                <c:pt idx="2">
                  <c:v>1248.777</c:v>
                </c:pt>
                <c:pt idx="3">
                  <c:v>1074.8989999999999</c:v>
                </c:pt>
                <c:pt idx="4">
                  <c:v>974.06600000000003</c:v>
                </c:pt>
                <c:pt idx="5">
                  <c:v>788.05700000000002</c:v>
                </c:pt>
                <c:pt idx="6">
                  <c:v>1157.1869999999999</c:v>
                </c:pt>
                <c:pt idx="7">
                  <c:v>1529.289</c:v>
                </c:pt>
                <c:pt idx="8">
                  <c:v>1700.587</c:v>
                </c:pt>
                <c:pt idx="9">
                  <c:v>1056.375</c:v>
                </c:pt>
                <c:pt idx="10">
                  <c:v>195.88</c:v>
                </c:pt>
                <c:pt idx="11">
                  <c:v>668.56399999999996</c:v>
                </c:pt>
              </c:numCache>
            </c:numRef>
          </c:val>
          <c:smooth val="0"/>
        </c:ser>
        <c:ser>
          <c:idx val="1"/>
          <c:order val="1"/>
          <c:tx>
            <c:v>In-house (Units)</c:v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OVERALL!$D$83:$O$83</c:f>
              <c:numCache>
                <c:formatCode>#,##0</c:formatCode>
                <c:ptCount val="12"/>
                <c:pt idx="0">
                  <c:v>443.06700000000001</c:v>
                </c:pt>
                <c:pt idx="1">
                  <c:v>320.28199999999998</c:v>
                </c:pt>
                <c:pt idx="2">
                  <c:v>493.44900000000001</c:v>
                </c:pt>
                <c:pt idx="3">
                  <c:v>325.39</c:v>
                </c:pt>
                <c:pt idx="4">
                  <c:v>314.34199999999998</c:v>
                </c:pt>
                <c:pt idx="5">
                  <c:v>469.8</c:v>
                </c:pt>
                <c:pt idx="6">
                  <c:v>563.10500000000002</c:v>
                </c:pt>
                <c:pt idx="7">
                  <c:v>915.74</c:v>
                </c:pt>
                <c:pt idx="8">
                  <c:v>882.13499999999999</c:v>
                </c:pt>
                <c:pt idx="9">
                  <c:v>736.36300000000006</c:v>
                </c:pt>
                <c:pt idx="10">
                  <c:v>160.78</c:v>
                </c:pt>
                <c:pt idx="11">
                  <c:v>527.95299999999997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6384"/>
        <c:axId val="480687560"/>
      </c:lineChart>
      <c:lineChart>
        <c:grouping val="standard"/>
        <c:varyColors val="0"/>
        <c:ser>
          <c:idx val="2"/>
          <c:order val="2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OVERALL!$D$4:$O$4</c:f>
              <c:numCache>
                <c:formatCode>General</c:formatCode>
                <c:ptCount val="12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  <c:pt idx="7">
                  <c:v>26</c:v>
                </c:pt>
                <c:pt idx="8">
                  <c:v>20</c:v>
                </c:pt>
                <c:pt idx="9">
                  <c:v>27</c:v>
                </c:pt>
                <c:pt idx="10">
                  <c:v>21</c:v>
                </c:pt>
                <c:pt idx="11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87168"/>
        <c:axId val="480688344"/>
      </c:lineChart>
      <c:dateAx>
        <c:axId val="480686384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7560"/>
        <c:crosses val="autoZero"/>
        <c:auto val="1"/>
        <c:lblOffset val="100"/>
        <c:baseTimeUnit val="months"/>
      </c:dateAx>
      <c:valAx>
        <c:axId val="48068756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Units (000)</a:t>
                </a:r>
              </a:p>
            </c:rich>
          </c:tx>
          <c:layout>
            <c:manualLayout>
              <c:xMode val="edge"/>
              <c:yMode val="edge"/>
              <c:x val="1.1808600847970937E-2"/>
              <c:y val="0.463626009013024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6384"/>
        <c:crosses val="autoZero"/>
        <c:crossBetween val="between"/>
      </c:valAx>
      <c:dateAx>
        <c:axId val="480687168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480688344"/>
        <c:crosses val="autoZero"/>
        <c:auto val="1"/>
        <c:lblOffset val="100"/>
        <c:baseTimeUnit val="months"/>
      </c:dateAx>
      <c:valAx>
        <c:axId val="48068834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Working days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480687168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2356163941045835"/>
          <c:y val="0.26031997792540346"/>
          <c:w val="0.16283076923076917"/>
          <c:h val="0.52101702897498359"/>
        </c:manualLayout>
      </c:layout>
      <c:overlay val="0"/>
      <c:txPr>
        <a:bodyPr/>
        <a:lstStyle/>
        <a:p>
          <a:pPr>
            <a:defRPr lang="en-GB" sz="11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0" i="0" u="none" strike="noStrike" baseline="0">
                <a:solidFill>
                  <a:srgbClr val="000000"/>
                </a:solidFill>
                <a:latin typeface="Calibri"/>
              </a:rPr>
              <a:t>Subcon vs In-house:  </a:t>
            </a: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BRIGHT SKY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 DEC 2014</a:t>
            </a:r>
          </a:p>
        </c:rich>
      </c:tx>
      <c:layout/>
      <c:overlay val="1"/>
    </c:title>
    <c:autoTitleDeleted val="0"/>
    <c:plotArea>
      <c:layout>
        <c:manualLayout>
          <c:layoutTarget val="inner"/>
          <c:xMode val="edge"/>
          <c:yMode val="edge"/>
          <c:x val="0.13275730746457171"/>
          <c:y val="0.19873465437632051"/>
          <c:w val="0.59179718444285356"/>
          <c:h val="0.63309517015172745"/>
        </c:manualLayout>
      </c:layout>
      <c:lineChart>
        <c:grouping val="standard"/>
        <c:varyColors val="0"/>
        <c:ser>
          <c:idx val="0"/>
          <c:order val="0"/>
          <c:tx>
            <c:v>Subcon (Units)</c:v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OVERALL!$D$91:$J$91</c:f>
              <c:numCache>
                <c:formatCode>#,##0</c:formatCode>
                <c:ptCount val="7"/>
                <c:pt idx="0">
                  <c:v>168.501</c:v>
                </c:pt>
                <c:pt idx="1">
                  <c:v>28.527999999999999</c:v>
                </c:pt>
                <c:pt idx="2">
                  <c:v>0</c:v>
                </c:pt>
                <c:pt idx="3">
                  <c:v>213.346</c:v>
                </c:pt>
                <c:pt idx="4">
                  <c:v>5.5519999999999996</c:v>
                </c:pt>
                <c:pt idx="5">
                  <c:v>96.141999999999996</c:v>
                </c:pt>
                <c:pt idx="6">
                  <c:v>430.70800000000003</c:v>
                </c:pt>
              </c:numCache>
            </c:numRef>
          </c:val>
          <c:smooth val="0"/>
        </c:ser>
        <c:ser>
          <c:idx val="1"/>
          <c:order val="1"/>
          <c:tx>
            <c:v>In-house (Units)</c:v>
          </c:tx>
          <c:marker>
            <c:symbol val="none"/>
          </c:marker>
          <c:cat>
            <c:numRef>
              <c:f>OVERALL!$D$3:$O$3</c:f>
              <c:numCache>
                <c:formatCode>[$-409]mmm\-yy;@</c:formatCode>
                <c:ptCount val="12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</c:numCache>
            </c:numRef>
          </c:cat>
          <c:val>
            <c:numRef>
              <c:f>OVERALL!$D$90:$J$90</c:f>
              <c:numCache>
                <c:formatCode>#,##0</c:formatCode>
                <c:ptCount val="7"/>
                <c:pt idx="0">
                  <c:v>1337.3679999999999</c:v>
                </c:pt>
                <c:pt idx="1">
                  <c:v>1107.7729999999999</c:v>
                </c:pt>
                <c:pt idx="2">
                  <c:v>1199.338</c:v>
                </c:pt>
                <c:pt idx="3">
                  <c:v>1397.826</c:v>
                </c:pt>
                <c:pt idx="4">
                  <c:v>1747.153</c:v>
                </c:pt>
                <c:pt idx="5">
                  <c:v>1542.5429999999999</c:v>
                </c:pt>
                <c:pt idx="6">
                  <c:v>1266.0219999999999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20272"/>
        <c:axId val="602818704"/>
      </c:lineChart>
      <c:lineChart>
        <c:grouping val="standard"/>
        <c:varyColors val="0"/>
        <c:ser>
          <c:idx val="2"/>
          <c:order val="2"/>
          <c:tx>
            <c:v>Working days per month</c:v>
          </c:tx>
          <c:spPr>
            <a:ln>
              <a:solidFill>
                <a:schemeClr val="tx1">
                  <a:lumMod val="75000"/>
                  <a:lumOff val="25000"/>
                  <a:alpha val="45000"/>
                </a:schemeClr>
              </a:solidFill>
            </a:ln>
          </c:spPr>
          <c:marker>
            <c:symbol val="none"/>
          </c:marker>
          <c:cat>
            <c:numRef>
              <c:f>OVERALL!$D$3:$J$3</c:f>
              <c:numCache>
                <c:formatCode>[$-409]mmm\-yy;@</c:formatCode>
                <c:ptCount val="7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</c:numCache>
            </c:numRef>
          </c:cat>
          <c:val>
            <c:numRef>
              <c:f>OVERALL!$D$4:$J$4</c:f>
              <c:numCache>
                <c:formatCode>General</c:formatCode>
                <c:ptCount val="7"/>
                <c:pt idx="0">
                  <c:v>21</c:v>
                </c:pt>
                <c:pt idx="1">
                  <c:v>23</c:v>
                </c:pt>
                <c:pt idx="2">
                  <c:v>26</c:v>
                </c:pt>
                <c:pt idx="3">
                  <c:v>20</c:v>
                </c:pt>
                <c:pt idx="4">
                  <c:v>25</c:v>
                </c:pt>
                <c:pt idx="5">
                  <c:v>23</c:v>
                </c:pt>
                <c:pt idx="6">
                  <c:v>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819096"/>
        <c:axId val="602821056"/>
      </c:lineChart>
      <c:dateAx>
        <c:axId val="602820272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nextTo"/>
        <c:txPr>
          <a:bodyPr rot="-270000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18704"/>
        <c:crosses val="autoZero"/>
        <c:auto val="1"/>
        <c:lblOffset val="100"/>
        <c:baseTimeUnit val="months"/>
      </c:dateAx>
      <c:valAx>
        <c:axId val="60281870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Units (000)</a:t>
                </a:r>
              </a:p>
            </c:rich>
          </c:tx>
          <c:layout>
            <c:manualLayout>
              <c:xMode val="edge"/>
              <c:yMode val="edge"/>
              <c:x val="1.5431017528590139E-2"/>
              <c:y val="0.42490095545933931"/>
            </c:manualLayout>
          </c:layout>
          <c:overlay val="0"/>
        </c:title>
        <c:numFmt formatCode="#,##0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20272"/>
        <c:crosses val="autoZero"/>
        <c:crossBetween val="between"/>
      </c:valAx>
      <c:dateAx>
        <c:axId val="602819096"/>
        <c:scaling>
          <c:orientation val="minMax"/>
        </c:scaling>
        <c:delete val="1"/>
        <c:axPos val="b"/>
        <c:numFmt formatCode="[$-409]mmm\-yy;@" sourceLinked="1"/>
        <c:majorTickMark val="out"/>
        <c:minorTickMark val="none"/>
        <c:tickLblPos val="nextTo"/>
        <c:crossAx val="602821056"/>
        <c:crosses val="autoZero"/>
        <c:auto val="1"/>
        <c:lblOffset val="100"/>
        <c:baseTimeUnit val="months"/>
      </c:dateAx>
      <c:valAx>
        <c:axId val="602821056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lang="en-GB" sz="1200" b="1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GB" sz="1200"/>
                  <a:t>Working days per month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lang="en-GB"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2819096"/>
        <c:crosses val="max"/>
        <c:crossBetween val="between"/>
      </c:valAx>
    </c:plotArea>
    <c:legend>
      <c:legendPos val="r"/>
      <c:layout>
        <c:manualLayout>
          <c:xMode val="edge"/>
          <c:yMode val="edge"/>
          <c:x val="0.80760009544261513"/>
          <c:y val="0.22813841886778044"/>
          <c:w val="0.17879233277658496"/>
          <c:h val="0.56504036415264536"/>
        </c:manualLayout>
      </c:layout>
      <c:overlay val="0"/>
      <c:txPr>
        <a:bodyPr/>
        <a:lstStyle/>
        <a:p>
          <a:pPr>
            <a:defRPr lang="en-GB" sz="12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800" b="1" i="0" u="none" strike="noStrike" baseline="0">
                <a:solidFill>
                  <a:srgbClr val="000000"/>
                </a:solidFill>
                <a:latin typeface="Calibri"/>
              </a:rPr>
              <a:t>VESTALLE SHIPPED UNITS</a:t>
            </a: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JUL 2014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692197055489284"/>
          <c:y val="0.21906101831244476"/>
          <c:w val="0.69159345490907165"/>
          <c:h val="0.62813775294251661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GB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'[1]2013 Overall'!$B$107:$B$108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OVERALL!$R$83:$R$84</c:f>
              <c:numCache>
                <c:formatCode>0%</c:formatCode>
                <c:ptCount val="2"/>
                <c:pt idx="0">
                  <c:v>0.32623845110169009</c:v>
                </c:pt>
                <c:pt idx="1">
                  <c:v>0.67380068220272993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34"/>
    </mc:Choice>
    <mc:Fallback>
      <c:style val="34"/>
    </mc:Fallback>
  </mc:AlternateContent>
  <c:chart>
    <c:title>
      <c:tx>
        <c:rich>
          <a:bodyPr/>
          <a:lstStyle/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600" b="1" i="0" u="none" strike="noStrike" baseline="0">
                <a:solidFill>
                  <a:srgbClr val="000000"/>
                </a:solidFill>
                <a:latin typeface="Calibri"/>
              </a:rPr>
              <a:t>BRIGHT SKY SHIPPED UNITS</a:t>
            </a:r>
            <a:endParaRPr lang="en-GB" sz="1600" b="0" i="0" u="none" strike="noStrike" baseline="0">
              <a:solidFill>
                <a:srgbClr val="000000"/>
              </a:solidFill>
              <a:latin typeface="Calibri"/>
            </a:endParaRPr>
          </a:p>
          <a:p>
            <a:pPr>
              <a:defRPr lang="en-GB"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GB" sz="1400" b="0" i="0" u="none" strike="noStrike" baseline="0">
                <a:solidFill>
                  <a:srgbClr val="000000"/>
                </a:solidFill>
                <a:latin typeface="Calibri"/>
              </a:rPr>
              <a:t>Period: </a:t>
            </a:r>
            <a:r>
              <a:rPr lang="en-GB" sz="1400" b="1" i="0" u="none" strike="noStrike" baseline="0">
                <a:solidFill>
                  <a:srgbClr val="000000"/>
                </a:solidFill>
                <a:latin typeface="Calibri"/>
              </a:rPr>
              <a:t>JAN 2014 - JUL 2014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7970675682864692"/>
          <c:y val="0.21832971039899024"/>
          <c:w val="0.65670628986209711"/>
          <c:h val="0.63595505939561225"/>
        </c:manualLayout>
      </c:layout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GB" sz="14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OVERALL!$B$110:$B$111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OVERALL!$R$90:$R$91</c:f>
              <c:numCache>
                <c:formatCode>0%</c:formatCode>
                <c:ptCount val="2"/>
                <c:pt idx="0">
                  <c:v>0.8868191626852473</c:v>
                </c:pt>
                <c:pt idx="1">
                  <c:v>0.11318083731475292</c:v>
                </c:pt>
              </c:numCache>
            </c:numRef>
          </c:val>
        </c:ser>
        <c:ser>
          <c:idx val="1"/>
          <c:order val="1"/>
          <c:cat>
            <c:strRef>
              <c:f>OVERALL!$B$110:$B$111</c:f>
              <c:strCache>
                <c:ptCount val="2"/>
                <c:pt idx="0">
                  <c:v>In-house</c:v>
                </c:pt>
                <c:pt idx="1">
                  <c:v>Subcon</c:v>
                </c:pt>
              </c:strCache>
            </c:strRef>
          </c:cat>
          <c:val>
            <c:numRef>
              <c:f>OVERALL!$B$110:$B$111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 rtl="0">
            <a:defRPr lang="en-GB" sz="140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4" Type="http://schemas.openxmlformats.org/officeDocument/2006/relationships/chart" Target="../charts/chart21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0</xdr:colOff>
      <xdr:row>26</xdr:row>
      <xdr:rowOff>173183</xdr:rowOff>
    </xdr:from>
    <xdr:to>
      <xdr:col>31</xdr:col>
      <xdr:colOff>571500</xdr:colOff>
      <xdr:row>44</xdr:row>
      <xdr:rowOff>237199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331518</xdr:colOff>
      <xdr:row>5</xdr:row>
      <xdr:rowOff>183077</xdr:rowOff>
    </xdr:from>
    <xdr:to>
      <xdr:col>32</xdr:col>
      <xdr:colOff>278884</xdr:colOff>
      <xdr:row>23</xdr:row>
      <xdr:rowOff>127041</xdr:rowOff>
    </xdr:to>
    <xdr:graphicFrame macro="">
      <xdr:nvGraphicFramePr>
        <xdr:cNvPr id="4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165760</xdr:colOff>
      <xdr:row>74</xdr:row>
      <xdr:rowOff>188025</xdr:rowOff>
    </xdr:from>
    <xdr:to>
      <xdr:col>32</xdr:col>
      <xdr:colOff>658461</xdr:colOff>
      <xdr:row>93</xdr:row>
      <xdr:rowOff>225136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623454</xdr:colOff>
      <xdr:row>26</xdr:row>
      <xdr:rowOff>155862</xdr:rowOff>
    </xdr:from>
    <xdr:to>
      <xdr:col>45</xdr:col>
      <xdr:colOff>294408</xdr:colOff>
      <xdr:row>44</xdr:row>
      <xdr:rowOff>207817</xdr:rowOff>
    </xdr:to>
    <xdr:graphicFrame macro="">
      <xdr:nvGraphicFramePr>
        <xdr:cNvPr id="6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173183</xdr:colOff>
      <xdr:row>73</xdr:row>
      <xdr:rowOff>225137</xdr:rowOff>
    </xdr:from>
    <xdr:to>
      <xdr:col>47</xdr:col>
      <xdr:colOff>346365</xdr:colOff>
      <xdr:row>93</xdr:row>
      <xdr:rowOff>106074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352550</xdr:colOff>
      <xdr:row>48</xdr:row>
      <xdr:rowOff>121227</xdr:rowOff>
    </xdr:from>
    <xdr:to>
      <xdr:col>29</xdr:col>
      <xdr:colOff>482931</xdr:colOff>
      <xdr:row>64</xdr:row>
      <xdr:rowOff>97970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173182</xdr:colOff>
      <xdr:row>48</xdr:row>
      <xdr:rowOff>155864</xdr:rowOff>
    </xdr:from>
    <xdr:to>
      <xdr:col>39</xdr:col>
      <xdr:colOff>225136</xdr:colOff>
      <xdr:row>64</xdr:row>
      <xdr:rowOff>124733</xdr:rowOff>
    </xdr:to>
    <xdr:graphicFrame macro="">
      <xdr:nvGraphicFramePr>
        <xdr:cNvPr id="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39</xdr:col>
      <xdr:colOff>64943</xdr:colOff>
      <xdr:row>95</xdr:row>
      <xdr:rowOff>69273</xdr:rowOff>
    </xdr:from>
    <xdr:to>
      <xdr:col>43</xdr:col>
      <xdr:colOff>652215</xdr:colOff>
      <xdr:row>111</xdr:row>
      <xdr:rowOff>23812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44</xdr:col>
      <xdr:colOff>484910</xdr:colOff>
      <xdr:row>95</xdr:row>
      <xdr:rowOff>73602</xdr:rowOff>
    </xdr:from>
    <xdr:to>
      <xdr:col>49</xdr:col>
      <xdr:colOff>404814</xdr:colOff>
      <xdr:row>110</xdr:row>
      <xdr:rowOff>103909</xdr:rowOff>
    </xdr:to>
    <xdr:graphicFrame macro="">
      <xdr:nvGraphicFramePr>
        <xdr:cNvPr id="11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33</xdr:col>
      <xdr:colOff>0</xdr:colOff>
      <xdr:row>6</xdr:row>
      <xdr:rowOff>0</xdr:rowOff>
    </xdr:from>
    <xdr:to>
      <xdr:col>45</xdr:col>
      <xdr:colOff>462643</xdr:colOff>
      <xdr:row>23</xdr:row>
      <xdr:rowOff>191614</xdr:rowOff>
    </xdr:to>
    <xdr:graphicFrame macro="">
      <xdr:nvGraphicFramePr>
        <xdr:cNvPr id="1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54429</xdr:colOff>
      <xdr:row>35</xdr:row>
      <xdr:rowOff>99315</xdr:rowOff>
    </xdr:from>
    <xdr:to>
      <xdr:col>32</xdr:col>
      <xdr:colOff>612321</xdr:colOff>
      <xdr:row>59</xdr:row>
      <xdr:rowOff>81643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327809</xdr:colOff>
      <xdr:row>18</xdr:row>
      <xdr:rowOff>18555</xdr:rowOff>
    </xdr:from>
    <xdr:to>
      <xdr:col>35</xdr:col>
      <xdr:colOff>653143</xdr:colOff>
      <xdr:row>34</xdr:row>
      <xdr:rowOff>112567</xdr:rowOff>
    </xdr:to>
    <xdr:graphicFrame macro="">
      <xdr:nvGraphicFramePr>
        <xdr:cNvPr id="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613913</xdr:colOff>
      <xdr:row>19</xdr:row>
      <xdr:rowOff>238478</xdr:rowOff>
    </xdr:from>
    <xdr:to>
      <xdr:col>25</xdr:col>
      <xdr:colOff>530678</xdr:colOff>
      <xdr:row>34</xdr:row>
      <xdr:rowOff>204107</xdr:rowOff>
    </xdr:to>
    <xdr:graphicFrame macro="">
      <xdr:nvGraphicFramePr>
        <xdr:cNvPr id="10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33</xdr:col>
      <xdr:colOff>312965</xdr:colOff>
      <xdr:row>35</xdr:row>
      <xdr:rowOff>122465</xdr:rowOff>
    </xdr:from>
    <xdr:to>
      <xdr:col>46</xdr:col>
      <xdr:colOff>95251</xdr:colOff>
      <xdr:row>55</xdr:row>
      <xdr:rowOff>109971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526678</xdr:colOff>
      <xdr:row>5</xdr:row>
      <xdr:rowOff>185304</xdr:rowOff>
    </xdr:from>
    <xdr:to>
      <xdr:col>33</xdr:col>
      <xdr:colOff>112059</xdr:colOff>
      <xdr:row>24</xdr:row>
      <xdr:rowOff>185304</xdr:rowOff>
    </xdr:to>
    <xdr:graphicFrame macro="">
      <xdr:nvGraphicFramePr>
        <xdr:cNvPr id="1184482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524494</xdr:colOff>
      <xdr:row>25</xdr:row>
      <xdr:rowOff>164398</xdr:rowOff>
    </xdr:from>
    <xdr:to>
      <xdr:col>33</xdr:col>
      <xdr:colOff>103909</xdr:colOff>
      <xdr:row>44</xdr:row>
      <xdr:rowOff>171325</xdr:rowOff>
    </xdr:to>
    <xdr:graphicFrame macro="">
      <xdr:nvGraphicFramePr>
        <xdr:cNvPr id="1184482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482005</xdr:colOff>
      <xdr:row>45</xdr:row>
      <xdr:rowOff>125098</xdr:rowOff>
    </xdr:from>
    <xdr:to>
      <xdr:col>33</xdr:col>
      <xdr:colOff>84553</xdr:colOff>
      <xdr:row>64</xdr:row>
      <xdr:rowOff>121786</xdr:rowOff>
    </xdr:to>
    <xdr:graphicFrame macro="">
      <xdr:nvGraphicFramePr>
        <xdr:cNvPr id="1184482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378524</xdr:colOff>
      <xdr:row>8</xdr:row>
      <xdr:rowOff>163285</xdr:rowOff>
    </xdr:from>
    <xdr:to>
      <xdr:col>33</xdr:col>
      <xdr:colOff>394607</xdr:colOff>
      <xdr:row>31</xdr:row>
      <xdr:rowOff>70200</xdr:rowOff>
    </xdr:to>
    <xdr:graphicFrame macro="">
      <xdr:nvGraphicFramePr>
        <xdr:cNvPr id="2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404503</xdr:colOff>
      <xdr:row>33</xdr:row>
      <xdr:rowOff>71747</xdr:rowOff>
    </xdr:from>
    <xdr:to>
      <xdr:col>29</xdr:col>
      <xdr:colOff>525360</xdr:colOff>
      <xdr:row>58</xdr:row>
      <xdr:rowOff>22513</xdr:rowOff>
    </xdr:to>
    <xdr:graphicFrame macro="">
      <xdr:nvGraphicFramePr>
        <xdr:cNvPr id="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79787</xdr:colOff>
      <xdr:row>33</xdr:row>
      <xdr:rowOff>86592</xdr:rowOff>
    </xdr:from>
    <xdr:to>
      <xdr:col>35</xdr:col>
      <xdr:colOff>27214</xdr:colOff>
      <xdr:row>58</xdr:row>
      <xdr:rowOff>13607</xdr:rowOff>
    </xdr:to>
    <xdr:graphicFrame macro="">
      <xdr:nvGraphicFramePr>
        <xdr:cNvPr id="9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34</xdr:col>
      <xdr:colOff>27214</xdr:colOff>
      <xdr:row>8</xdr:row>
      <xdr:rowOff>108857</xdr:rowOff>
    </xdr:from>
    <xdr:to>
      <xdr:col>46</xdr:col>
      <xdr:colOff>489858</xdr:colOff>
      <xdr:row>31</xdr:row>
      <xdr:rowOff>81642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502225</xdr:colOff>
      <xdr:row>26</xdr:row>
      <xdr:rowOff>34633</xdr:rowOff>
    </xdr:from>
    <xdr:to>
      <xdr:col>31</xdr:col>
      <xdr:colOff>180974</xdr:colOff>
      <xdr:row>54</xdr:row>
      <xdr:rowOff>86588</xdr:rowOff>
    </xdr:to>
    <xdr:graphicFrame macro="">
      <xdr:nvGraphicFramePr>
        <xdr:cNvPr id="5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519546</xdr:colOff>
      <xdr:row>4</xdr:row>
      <xdr:rowOff>138546</xdr:rowOff>
    </xdr:from>
    <xdr:to>
      <xdr:col>31</xdr:col>
      <xdr:colOff>138547</xdr:colOff>
      <xdr:row>25</xdr:row>
      <xdr:rowOff>112445</xdr:rowOff>
    </xdr:to>
    <xdr:graphicFrame macro="">
      <xdr:nvGraphicFramePr>
        <xdr:cNvPr id="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381000</xdr:colOff>
      <xdr:row>24</xdr:row>
      <xdr:rowOff>103909</xdr:rowOff>
    </xdr:from>
    <xdr:to>
      <xdr:col>16</xdr:col>
      <xdr:colOff>17319</xdr:colOff>
      <xdr:row>50</xdr:row>
      <xdr:rowOff>84364</xdr:rowOff>
    </xdr:to>
    <xdr:graphicFrame macro="">
      <xdr:nvGraphicFramePr>
        <xdr:cNvPr id="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hris/Documents/Month%20End%20Report/Production%20summary%20OS%2031%20May%202014%20v3%20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y"/>
      <sheetName val="June"/>
      <sheetName val="July"/>
      <sheetName val="August"/>
      <sheetName val="September"/>
      <sheetName val="October"/>
      <sheetName val="November"/>
      <sheetName val="December"/>
      <sheetName val="2013 Overall"/>
      <sheetName val="BT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D3">
            <v>41395</v>
          </cell>
          <cell r="E3">
            <v>41426</v>
          </cell>
          <cell r="F3">
            <v>41456</v>
          </cell>
          <cell r="G3">
            <v>41487</v>
          </cell>
          <cell r="H3">
            <v>41518</v>
          </cell>
        </row>
        <row r="107">
          <cell r="B107" t="str">
            <v>In-house</v>
          </cell>
        </row>
        <row r="108">
          <cell r="B108" t="str">
            <v>Subcon</v>
          </cell>
        </row>
      </sheetData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11"/>
  <sheetViews>
    <sheetView tabSelected="1" zoomScale="70" zoomScaleNormal="70" workbookViewId="0">
      <pane xSplit="3" ySplit="4" topLeftCell="D32" activePane="bottomRight" state="frozen"/>
      <selection pane="topRight" activeCell="D1" sqref="D1"/>
      <selection pane="bottomLeft" activeCell="A4" sqref="A4"/>
      <selection pane="bottomRight" activeCell="R4" sqref="R4:R69"/>
    </sheetView>
  </sheetViews>
  <sheetFormatPr defaultRowHeight="12.75"/>
  <cols>
    <col min="1" max="1" width="4.375" style="1" customWidth="1"/>
    <col min="2" max="2" width="18.375" style="1" customWidth="1"/>
    <col min="3" max="3" width="21.75" style="1" customWidth="1"/>
    <col min="4" max="15" width="9.125" style="1" customWidth="1"/>
    <col min="16" max="16" width="10.625" style="1" customWidth="1"/>
    <col min="17" max="17" width="1.875" style="1" customWidth="1"/>
    <col min="18" max="18" width="8.75" style="1" customWidth="1"/>
    <col min="19" max="16384" width="9" style="1"/>
  </cols>
  <sheetData>
    <row r="1" spans="1:18" ht="41.25" customHeight="1" thickBot="1">
      <c r="B1" s="6" t="s">
        <v>4</v>
      </c>
      <c r="G1" s="1">
        <v>1000</v>
      </c>
      <c r="P1" s="34" t="s">
        <v>16</v>
      </c>
      <c r="Q1" s="1">
        <v>60</v>
      </c>
    </row>
    <row r="2" spans="1:18" ht="15" customHeight="1" thickBot="1">
      <c r="B2" s="6"/>
      <c r="C2" s="1" t="s">
        <v>63</v>
      </c>
      <c r="P2" s="35">
        <v>0.47</v>
      </c>
      <c r="Q2" s="33"/>
      <c r="R2" s="33"/>
    </row>
    <row r="3" spans="1:18" s="5" customFormat="1" ht="18" customHeight="1" thickBot="1">
      <c r="A3" s="4"/>
      <c r="B3" s="76"/>
      <c r="C3" s="13"/>
      <c r="D3" s="87">
        <f>'Bright Sky'!D3</f>
        <v>41640</v>
      </c>
      <c r="E3" s="87">
        <f>'Bright Sky'!E3</f>
        <v>41671</v>
      </c>
      <c r="F3" s="87">
        <f>'Bright Sky'!F3</f>
        <v>41699</v>
      </c>
      <c r="G3" s="87">
        <f>'Bright Sky'!G3</f>
        <v>41730</v>
      </c>
      <c r="H3" s="87">
        <f>'Bright Sky'!H3</f>
        <v>41760</v>
      </c>
      <c r="I3" s="87">
        <f>'Bright Sky'!I3</f>
        <v>41791</v>
      </c>
      <c r="J3" s="87">
        <f>'Bright Sky'!J3</f>
        <v>41821</v>
      </c>
      <c r="K3" s="87">
        <f>'Bright Sky'!K3</f>
        <v>41852</v>
      </c>
      <c r="L3" s="87">
        <f>'Bright Sky'!L3</f>
        <v>41883</v>
      </c>
      <c r="M3" s="87">
        <f>'Bright Sky'!M3</f>
        <v>41913</v>
      </c>
      <c r="N3" s="87">
        <f>'Bright Sky'!N3</f>
        <v>41944</v>
      </c>
      <c r="O3" s="87">
        <f>'Bright Sky'!O3</f>
        <v>41974</v>
      </c>
      <c r="P3" s="88" t="s">
        <v>18</v>
      </c>
    </row>
    <row r="4" spans="1:18" s="5" customFormat="1" ht="19.5" customHeight="1" thickBot="1">
      <c r="A4" s="4"/>
      <c r="B4" s="101"/>
      <c r="C4" s="85" t="s">
        <v>47</v>
      </c>
      <c r="D4" s="86">
        <f>'Bright Sky'!D4</f>
        <v>21</v>
      </c>
      <c r="E4" s="86">
        <f>'Bright Sky'!E4</f>
        <v>23</v>
      </c>
      <c r="F4" s="86">
        <f>'Bright Sky'!F4</f>
        <v>26</v>
      </c>
      <c r="G4" s="86">
        <f>'Bright Sky'!G4</f>
        <v>20</v>
      </c>
      <c r="H4" s="86">
        <f>'Bright Sky'!H4</f>
        <v>25</v>
      </c>
      <c r="I4" s="86">
        <f>'Bright Sky'!I4</f>
        <v>23</v>
      </c>
      <c r="J4" s="86">
        <f>'Bright Sky'!J4</f>
        <v>26</v>
      </c>
      <c r="K4" s="86">
        <f>'Bright Sky'!K4</f>
        <v>26</v>
      </c>
      <c r="L4" s="86">
        <f>'Bright Sky'!L4</f>
        <v>20</v>
      </c>
      <c r="M4" s="90">
        <v>27</v>
      </c>
      <c r="N4" s="90">
        <v>21</v>
      </c>
      <c r="O4" s="90">
        <v>26</v>
      </c>
      <c r="P4" s="86">
        <f>'Bright Sky'!P4</f>
        <v>284</v>
      </c>
      <c r="R4" s="5">
        <f>ROW(C4)</f>
        <v>4</v>
      </c>
    </row>
    <row r="5" spans="1:18" s="8" customFormat="1" ht="18.75" customHeight="1">
      <c r="A5" s="7"/>
      <c r="B5" s="196" t="s">
        <v>53</v>
      </c>
      <c r="C5" s="58" t="s">
        <v>0</v>
      </c>
      <c r="D5" s="16">
        <f>'Bright Sky'!D5</f>
        <v>0.43784745964602778</v>
      </c>
      <c r="E5" s="16">
        <f>'Bright Sky'!E5</f>
        <v>0.40689867253993245</v>
      </c>
      <c r="F5" s="16">
        <f>'Bright Sky'!F5</f>
        <v>0.36938478902144362</v>
      </c>
      <c r="G5" s="16">
        <f>'Bright Sky'!G5</f>
        <v>0.32337638658640194</v>
      </c>
      <c r="H5" s="16">
        <f>'Bright Sky'!H5</f>
        <v>0.33004881978326595</v>
      </c>
      <c r="I5" s="16">
        <f>'Bright Sky'!I5</f>
        <v>0.32548210727401478</v>
      </c>
      <c r="J5" s="16">
        <f>'Bright Sky'!J5</f>
        <v>0.3307214234448817</v>
      </c>
      <c r="K5" s="16">
        <f>'Bright Sky'!K5</f>
        <v>0.40578799846113983</v>
      </c>
      <c r="L5" s="16">
        <f>'Bright Sky'!L5</f>
        <v>0.34602095870512561</v>
      </c>
      <c r="M5" s="16">
        <f>'Bright Sky'!M5</f>
        <v>0.35043967515348823</v>
      </c>
      <c r="N5" s="16">
        <f>'Bright Sky'!N5</f>
        <v>0.35858456957515816</v>
      </c>
      <c r="O5" s="16">
        <f>'Bright Sky'!O5</f>
        <v>0.43348375608819373</v>
      </c>
      <c r="P5" s="25">
        <f>P10/P13</f>
        <v>0.36814499727544697</v>
      </c>
      <c r="R5" s="5">
        <f>ROW(C5)</f>
        <v>5</v>
      </c>
    </row>
    <row r="6" spans="1:18" ht="19.5" customHeight="1">
      <c r="A6" s="3"/>
      <c r="B6" s="197"/>
      <c r="C6" s="59" t="s">
        <v>19</v>
      </c>
      <c r="D6" s="37">
        <f>'Bright Sky'!D6</f>
        <v>462.61099999999999</v>
      </c>
      <c r="E6" s="37">
        <f>'Bright Sky'!E6</f>
        <v>559.21600000000001</v>
      </c>
      <c r="F6" s="37">
        <f>'Bright Sky'!F6</f>
        <v>536.47299999999996</v>
      </c>
      <c r="G6" s="37">
        <f>'Bright Sky'!G6</f>
        <v>215.26599999999999</v>
      </c>
      <c r="H6" s="37">
        <f>'Bright Sky'!H6</f>
        <v>236.85900000000001</v>
      </c>
      <c r="I6" s="37">
        <f>'Bright Sky'!I6</f>
        <v>239.155</v>
      </c>
      <c r="J6" s="37">
        <f>'Bright Sky'!J6</f>
        <v>274.72500000000002</v>
      </c>
      <c r="K6" s="37">
        <f>'Bright Sky'!K6</f>
        <v>413.19200000000001</v>
      </c>
      <c r="L6" s="18">
        <f>'Bright Sky'!L6</f>
        <v>401.88099999999997</v>
      </c>
      <c r="M6" s="18">
        <f>'Bright Sky'!M6</f>
        <v>355.86200000000002</v>
      </c>
      <c r="N6" s="18">
        <f>'Bright Sky'!N6</f>
        <v>327.904</v>
      </c>
      <c r="O6" s="18">
        <f>'Bright Sky'!O6</f>
        <v>393.178</v>
      </c>
      <c r="P6" s="26">
        <f>SUM(D6:O6)</f>
        <v>4416.3220000000001</v>
      </c>
      <c r="R6" s="5">
        <f>ROW(C6)</f>
        <v>6</v>
      </c>
    </row>
    <row r="7" spans="1:18" ht="19.5" customHeight="1">
      <c r="A7" s="3"/>
      <c r="B7" s="197"/>
      <c r="C7" s="59" t="s">
        <v>60</v>
      </c>
      <c r="D7" s="37">
        <f>'Bright Sky'!D7</f>
        <v>35</v>
      </c>
      <c r="E7" s="37">
        <f>'Bright Sky'!E7</f>
        <v>33</v>
      </c>
      <c r="F7" s="37">
        <f>'Bright Sky'!F7</f>
        <v>29</v>
      </c>
      <c r="G7" s="37">
        <f>'Bright Sky'!G7</f>
        <v>30</v>
      </c>
      <c r="H7" s="37">
        <f>'Bright Sky'!H7</f>
        <v>36</v>
      </c>
      <c r="I7" s="37">
        <f>'Bright Sky'!I7</f>
        <v>34</v>
      </c>
      <c r="J7" s="37">
        <f>'Bright Sky'!J7</f>
        <v>33</v>
      </c>
      <c r="K7" s="37">
        <f>'Bright Sky'!K7</f>
        <v>34</v>
      </c>
      <c r="L7" s="18">
        <f>'Bright Sky'!L7</f>
        <v>37</v>
      </c>
      <c r="M7" s="18">
        <f>'Bright Sky'!M7</f>
        <v>41</v>
      </c>
      <c r="N7" s="18">
        <f>'Bright Sky'!N7</f>
        <v>31</v>
      </c>
      <c r="O7" s="18">
        <f>'Bright Sky'!O7</f>
        <v>31</v>
      </c>
      <c r="P7" s="26">
        <f>AVERAGE(D7:H7)</f>
        <v>32.6</v>
      </c>
    </row>
    <row r="8" spans="1:18" ht="19.5" customHeight="1">
      <c r="A8" s="3"/>
      <c r="B8" s="197"/>
      <c r="C8" s="59" t="s">
        <v>15</v>
      </c>
      <c r="D8" s="37"/>
      <c r="E8" s="37">
        <f>'Bright Sky'!E8</f>
        <v>16</v>
      </c>
      <c r="F8" s="37">
        <f>'Bright Sky'!F8</f>
        <v>19</v>
      </c>
      <c r="G8" s="37">
        <f>'Bright Sky'!G8</f>
        <v>14</v>
      </c>
      <c r="H8" s="37">
        <f>'Bright Sky'!H8</f>
        <v>19</v>
      </c>
      <c r="I8" s="37">
        <f>'Bright Sky'!I8</f>
        <v>16</v>
      </c>
      <c r="J8" s="37">
        <f>'Bright Sky'!J8</f>
        <v>13</v>
      </c>
      <c r="K8" s="37">
        <f>'Bright Sky'!K8</f>
        <v>17</v>
      </c>
      <c r="L8" s="18">
        <f>'Bright Sky'!L8</f>
        <v>23</v>
      </c>
      <c r="M8" s="18">
        <f>'Bright Sky'!M8</f>
        <v>24</v>
      </c>
      <c r="N8" s="18">
        <f>'Bright Sky'!N8</f>
        <v>17</v>
      </c>
      <c r="O8" s="18">
        <f>'Bright Sky'!O8</f>
        <v>15</v>
      </c>
      <c r="P8" s="26">
        <f>AVERAGE(D8:H8)</f>
        <v>17</v>
      </c>
    </row>
    <row r="9" spans="1:18" ht="19.5" customHeight="1">
      <c r="A9" s="3"/>
      <c r="B9" s="197"/>
      <c r="C9" s="60" t="s">
        <v>59</v>
      </c>
      <c r="D9" s="38">
        <f>'Bright Sky'!D9</f>
        <v>13.217457142857143</v>
      </c>
      <c r="E9" s="38">
        <f>'Bright Sky'!E9</f>
        <v>16.945939393939394</v>
      </c>
      <c r="F9" s="38">
        <f>'Bright Sky'!F9</f>
        <v>18.499068965517239</v>
      </c>
      <c r="G9" s="38">
        <f>'Bright Sky'!G9</f>
        <v>7.1755333333333331</v>
      </c>
      <c r="H9" s="38">
        <f>'Bright Sky'!H9</f>
        <v>6.5794166666666669</v>
      </c>
      <c r="I9" s="38">
        <f>'Bright Sky'!I9</f>
        <v>7.0339705882352943</v>
      </c>
      <c r="J9" s="38">
        <f>'Bright Sky'!J9</f>
        <v>8.3250000000000011</v>
      </c>
      <c r="K9" s="38">
        <f>'Bright Sky'!K9</f>
        <v>12.152705882352942</v>
      </c>
      <c r="L9" s="17">
        <f>'Bright Sky'!L9</f>
        <v>10.861648648648648</v>
      </c>
      <c r="M9" s="17">
        <f>'Bright Sky'!M9</f>
        <v>8.6795609756097569</v>
      </c>
      <c r="N9" s="17">
        <f>'Bright Sky'!N9</f>
        <v>10.577548387096774</v>
      </c>
      <c r="O9" s="17">
        <f>'Bright Sky'!O9</f>
        <v>12.68316129032258</v>
      </c>
      <c r="P9" s="26">
        <f>AVERAGE(D9:H9)</f>
        <v>12.483483100462756</v>
      </c>
    </row>
    <row r="10" spans="1:18" s="2" customFormat="1" ht="19.5" customHeight="1">
      <c r="A10" s="11"/>
      <c r="B10" s="197"/>
      <c r="C10" s="60" t="s">
        <v>21</v>
      </c>
      <c r="D10" s="37">
        <f>'Bright Sky'!D10</f>
        <v>5241.7171340000004</v>
      </c>
      <c r="E10" s="37">
        <f>'Bright Sky'!E10</f>
        <v>5583.9518630000011</v>
      </c>
      <c r="F10" s="37">
        <f>'Bright Sky'!F10</f>
        <v>5662.4915110000002</v>
      </c>
      <c r="G10" s="37">
        <f>'Bright Sky'!G10</f>
        <v>3745.2418289999996</v>
      </c>
      <c r="H10" s="37">
        <f>'Bright Sky'!H10</f>
        <v>4724.4244219999991</v>
      </c>
      <c r="I10" s="37">
        <f>'Bright Sky'!I10</f>
        <v>4743.42</v>
      </c>
      <c r="J10" s="37">
        <f>'Bright Sky'!J10</f>
        <v>5031.8999999999996</v>
      </c>
      <c r="K10" s="37">
        <f>'Bright Sky'!K10</f>
        <v>6202.08</v>
      </c>
      <c r="L10" s="18">
        <f>'Bright Sky'!L10</f>
        <v>4001.94</v>
      </c>
      <c r="M10" s="18">
        <f>'Bright Sky'!M10</f>
        <v>4753.5600000000004</v>
      </c>
      <c r="N10" s="18">
        <f>'Bright Sky'!N10</f>
        <v>4046.34</v>
      </c>
      <c r="O10" s="18">
        <f>'Bright Sky'!O10</f>
        <v>5959.5</v>
      </c>
      <c r="P10" s="27">
        <f>SUM(D10:O10)</f>
        <v>59696.566759000008</v>
      </c>
      <c r="R10" s="5">
        <f>ROW(C10)</f>
        <v>10</v>
      </c>
    </row>
    <row r="11" spans="1:18" ht="19.5" customHeight="1">
      <c r="A11" s="3"/>
      <c r="B11" s="197"/>
      <c r="C11" s="60" t="s">
        <v>8</v>
      </c>
      <c r="D11" s="37">
        <f>'Bright Sky'!D11</f>
        <v>890.47826086956525</v>
      </c>
      <c r="E11" s="37">
        <f>'Bright Sky'!E11</f>
        <v>1001.6521739130435</v>
      </c>
      <c r="F11" s="37">
        <f>'Bright Sky'!F11</f>
        <v>1029.68</v>
      </c>
      <c r="G11" s="37">
        <f>'Bright Sky'!G11</f>
        <v>1007.35</v>
      </c>
      <c r="H11" s="37">
        <f>'Bright Sky'!H11</f>
        <v>973.84</v>
      </c>
      <c r="I11" s="37">
        <f>'Bright Sky'!I11</f>
        <v>985</v>
      </c>
      <c r="J11" s="37">
        <f>'Bright Sky'!J11</f>
        <v>982</v>
      </c>
      <c r="K11" s="37">
        <f>'Bright Sky'!K11</f>
        <v>988</v>
      </c>
      <c r="L11" s="18">
        <f>'Bright Sky'!L11</f>
        <v>984</v>
      </c>
      <c r="M11" s="18">
        <f>'Bright Sky'!M11</f>
        <v>953</v>
      </c>
      <c r="N11" s="18">
        <f>'Bright Sky'!N11</f>
        <v>912</v>
      </c>
      <c r="O11" s="18">
        <f>'Bright Sky'!O11</f>
        <v>891</v>
      </c>
      <c r="P11" s="81">
        <f>AVERAGE(D11:O11)</f>
        <v>966.50003623188411</v>
      </c>
      <c r="R11" s="5">
        <f>ROW(C11)</f>
        <v>11</v>
      </c>
    </row>
    <row r="12" spans="1:18" ht="19.5" customHeight="1">
      <c r="A12" s="3"/>
      <c r="B12" s="197"/>
      <c r="C12" s="60" t="s">
        <v>7</v>
      </c>
      <c r="D12" s="19">
        <f>'Bright Sky'!D12</f>
        <v>0.46043343374848256</v>
      </c>
      <c r="E12" s="19">
        <f>'Bright Sky'!E12</f>
        <v>0.51791735983094289</v>
      </c>
      <c r="F12" s="19">
        <f>'Bright Sky'!F12</f>
        <v>0.53240951396070324</v>
      </c>
      <c r="G12" s="19">
        <f>'Bright Sky'!G12</f>
        <v>0.52086349534643228</v>
      </c>
      <c r="H12" s="19">
        <f>'Bright Sky'!H12</f>
        <v>0.50353671147880041</v>
      </c>
      <c r="I12" s="19">
        <f>'Bright Sky'!I12</f>
        <v>0.50930713547052742</v>
      </c>
      <c r="J12" s="19">
        <f>'Bright Sky'!J12</f>
        <v>0.50775594622543951</v>
      </c>
      <c r="K12" s="19">
        <f>'Bright Sky'!K12</f>
        <v>0.51085832471561532</v>
      </c>
      <c r="L12" s="19">
        <f>'Bright Sky'!L12</f>
        <v>0.50879007238883145</v>
      </c>
      <c r="M12" s="19">
        <f>'Bright Sky'!M12</f>
        <v>0.49276111685625645</v>
      </c>
      <c r="N12" s="19">
        <f>'Bright Sky'!N12</f>
        <v>0.47156153050672184</v>
      </c>
      <c r="O12" s="19">
        <f>'Bright Sky'!O12</f>
        <v>0.46070320579110652</v>
      </c>
      <c r="P12" s="81"/>
    </row>
    <row r="13" spans="1:18" ht="19.5" customHeight="1">
      <c r="A13" s="3"/>
      <c r="B13" s="197"/>
      <c r="C13" s="60" t="s">
        <v>20</v>
      </c>
      <c r="D13" s="18">
        <f>'Bright Sky'!D13</f>
        <v>11971.56</v>
      </c>
      <c r="E13" s="18">
        <f>'Bright Sky'!E13</f>
        <v>13723.2</v>
      </c>
      <c r="F13" s="18">
        <f>'Bright Sky'!F13</f>
        <v>15329.52</v>
      </c>
      <c r="G13" s="18">
        <f>'Bright Sky'!G13</f>
        <v>11581.68</v>
      </c>
      <c r="H13" s="18">
        <f>'Bright Sky'!H13</f>
        <v>14314.32</v>
      </c>
      <c r="I13" s="18">
        <f>'Bright Sky'!I13</f>
        <v>14573.52</v>
      </c>
      <c r="J13" s="18">
        <f>'Bright Sky'!J13</f>
        <v>15214.92</v>
      </c>
      <c r="K13" s="18">
        <f>'Bright Sky'!K13</f>
        <v>15284.04</v>
      </c>
      <c r="L13" s="18">
        <f>'Bright Sky'!L13</f>
        <v>11565.599999999999</v>
      </c>
      <c r="M13" s="18">
        <f>'Bright Sky'!M13</f>
        <v>13564.56</v>
      </c>
      <c r="N13" s="18">
        <f>'Bright Sky'!N13</f>
        <v>11284.2</v>
      </c>
      <c r="O13" s="18">
        <f>'Bright Sky'!O13</f>
        <v>13747.92</v>
      </c>
      <c r="P13" s="27">
        <f>SUM(D13:O13)</f>
        <v>162155.04000000004</v>
      </c>
      <c r="R13" s="5">
        <f>ROW(C13)</f>
        <v>13</v>
      </c>
    </row>
    <row r="14" spans="1:18" ht="19.5" customHeight="1">
      <c r="A14" s="3"/>
      <c r="B14" s="197"/>
      <c r="C14" s="60" t="s">
        <v>9</v>
      </c>
      <c r="D14" s="21">
        <f>'Bright Sky'!D14</f>
        <v>11.330723078353088</v>
      </c>
      <c r="E14" s="21">
        <f>'Bright Sky'!E14</f>
        <v>9.9853220633887467</v>
      </c>
      <c r="F14" s="21">
        <f>'Bright Sky'!F14</f>
        <v>10.555035409051342</v>
      </c>
      <c r="G14" s="21">
        <f>'Bright Sky'!G14</f>
        <v>17.398204217108134</v>
      </c>
      <c r="H14" s="21">
        <f>'Bright Sky'!H14</f>
        <v>19.946146956628201</v>
      </c>
      <c r="I14" s="21">
        <f>'Bright Sky'!I14</f>
        <v>19.834082498797851</v>
      </c>
      <c r="J14" s="21">
        <f>'Bright Sky'!J14</f>
        <v>18.316134316134313</v>
      </c>
      <c r="K14" s="21">
        <f>'Bright Sky'!K14</f>
        <v>15.010164766016766</v>
      </c>
      <c r="L14" s="21">
        <f>'Bright Sky'!L14</f>
        <v>9.9580223996655732</v>
      </c>
      <c r="M14" s="21">
        <f>'Bright Sky'!M14</f>
        <v>13.357874681758659</v>
      </c>
      <c r="N14" s="21">
        <f>'Bright Sky'!N14</f>
        <v>12.34001415048307</v>
      </c>
      <c r="O14" s="21">
        <f>'Bright Sky'!O14</f>
        <v>15.157257018449659</v>
      </c>
      <c r="P14" s="28">
        <f>P10/P6</f>
        <v>13.517258650750557</v>
      </c>
      <c r="R14" s="5">
        <f>ROW(C14)</f>
        <v>14</v>
      </c>
    </row>
    <row r="15" spans="1:18" ht="19.5" customHeight="1">
      <c r="A15" s="3"/>
      <c r="B15" s="197"/>
      <c r="C15" s="60" t="s">
        <v>22</v>
      </c>
      <c r="D15" s="37">
        <f>'Bright Sky'!D15</f>
        <v>2404.3068149999999</v>
      </c>
      <c r="E15" s="37">
        <f>'Bright Sky'!E15</f>
        <v>3009.0850800000003</v>
      </c>
      <c r="F15" s="37">
        <f>'Bright Sky'!F15</f>
        <v>3233.6210699999992</v>
      </c>
      <c r="G15" s="37">
        <f>'Bright Sky'!G15</f>
        <v>2289.25954</v>
      </c>
      <c r="H15" s="37">
        <f>'Bright Sky'!H15</f>
        <v>2385.1438900000003</v>
      </c>
      <c r="I15" s="37">
        <f>'Bright Sky'!I15</f>
        <v>2612.06736</v>
      </c>
      <c r="J15" s="37">
        <f>'Bright Sky'!J15</f>
        <v>3111.2200600000001</v>
      </c>
      <c r="K15" s="37">
        <f>'Bright Sky'!K15</f>
        <v>3506.712</v>
      </c>
      <c r="L15" s="18">
        <f>'Bright Sky'!L15</f>
        <v>2045.5229999999999</v>
      </c>
      <c r="M15" s="18">
        <f>'Bright Sky'!M15</f>
        <v>2581.3150000000001</v>
      </c>
      <c r="N15" s="18">
        <f>'Bright Sky'!N15</f>
        <v>2132.123</v>
      </c>
      <c r="O15" s="18">
        <f>'Bright Sky'!O15</f>
        <v>2366.3739999999998</v>
      </c>
      <c r="P15" s="27">
        <f>SUM(D15:O15)</f>
        <v>31676.750814999999</v>
      </c>
      <c r="R15" s="5">
        <f>ROW(C15)</f>
        <v>15</v>
      </c>
    </row>
    <row r="16" spans="1:18" ht="19.5" customHeight="1">
      <c r="A16" s="3"/>
      <c r="B16" s="197"/>
      <c r="C16" s="61" t="s">
        <v>10</v>
      </c>
      <c r="D16" s="22">
        <f>'Bright Sky'!D16</f>
        <v>5.1972538806902557</v>
      </c>
      <c r="E16" s="22">
        <f>'Bright Sky'!E16</f>
        <v>5.3808994735486833</v>
      </c>
      <c r="F16" s="22">
        <f>'Bright Sky'!F16</f>
        <v>6.0275560373029018</v>
      </c>
      <c r="G16" s="22">
        <f>'Bright Sky'!G16</f>
        <v>10.634561612144974</v>
      </c>
      <c r="H16" s="22">
        <f>'Bright Sky'!H16</f>
        <v>10.069889216791426</v>
      </c>
      <c r="I16" s="22">
        <f>'Bright Sky'!I16</f>
        <v>10.922068783843114</v>
      </c>
      <c r="J16" s="22">
        <f>'Bright Sky'!J16</f>
        <v>11.324852343252342</v>
      </c>
      <c r="K16" s="22">
        <f>'Bright Sky'!K16</f>
        <v>8.4868826114736002</v>
      </c>
      <c r="L16" s="22">
        <f>'Bright Sky'!L16</f>
        <v>5.0898723751558297</v>
      </c>
      <c r="M16" s="22">
        <f>'Bright Sky'!M16</f>
        <v>7.2536966576931503</v>
      </c>
      <c r="N16" s="22">
        <f>'Bright Sky'!N16</f>
        <v>6.5022781057870596</v>
      </c>
      <c r="O16" s="22">
        <f>'Bright Sky'!O16</f>
        <v>6.018581914552696</v>
      </c>
      <c r="P16" s="29">
        <f t="shared" ref="P16" si="0">P15/P6</f>
        <v>7.1726542618495657</v>
      </c>
      <c r="R16" s="5">
        <f>ROW(C16)</f>
        <v>16</v>
      </c>
    </row>
    <row r="17" spans="1:60" ht="19.5" customHeight="1" thickBot="1">
      <c r="A17" s="3"/>
      <c r="B17" s="198"/>
      <c r="C17" s="62" t="s">
        <v>23</v>
      </c>
      <c r="D17" s="23">
        <f>'Bright Sky'!D17</f>
        <v>114.49080071428571</v>
      </c>
      <c r="E17" s="23">
        <f>'Bright Sky'!E17</f>
        <v>130.82978608695655</v>
      </c>
      <c r="F17" s="23">
        <f>'Bright Sky'!F17</f>
        <v>124.37004115384613</v>
      </c>
      <c r="G17" s="23">
        <f>'Bright Sky'!G17</f>
        <v>114.462977</v>
      </c>
      <c r="H17" s="23">
        <f>'Bright Sky'!H17</f>
        <v>95.405755600000006</v>
      </c>
      <c r="I17" s="23">
        <f>'Bright Sky'!I17</f>
        <v>113.56814608695652</v>
      </c>
      <c r="J17" s="23">
        <f>'Bright Sky'!J17</f>
        <v>119.66231000000001</v>
      </c>
      <c r="K17" s="23">
        <f>'Bright Sky'!K17</f>
        <v>134.87353846153846</v>
      </c>
      <c r="L17" s="23">
        <f>'Bright Sky'!L17</f>
        <v>102.27615</v>
      </c>
      <c r="M17" s="23">
        <f>'Bright Sky'!M17</f>
        <v>95.604259259259265</v>
      </c>
      <c r="N17" s="23">
        <f>'Bright Sky'!N17</f>
        <v>101.52966666666667</v>
      </c>
      <c r="O17" s="23">
        <f>'Bright Sky'!O17</f>
        <v>91.014384615384614</v>
      </c>
      <c r="P17" s="30">
        <f>P15/P$4</f>
        <v>111.53785498239436</v>
      </c>
      <c r="R17" s="5">
        <f>ROW(C17)</f>
        <v>17</v>
      </c>
    </row>
    <row r="18" spans="1:60" s="10" customFormat="1" ht="19.5" customHeight="1">
      <c r="A18" s="9"/>
      <c r="B18" s="199" t="s">
        <v>54</v>
      </c>
      <c r="C18" s="58" t="s">
        <v>0</v>
      </c>
      <c r="D18" s="16">
        <f>'Bright Sky'!D18</f>
        <v>0.53669675013779239</v>
      </c>
      <c r="E18" s="16">
        <f>'Bright Sky'!E18</f>
        <v>0.56544982686630618</v>
      </c>
      <c r="F18" s="16">
        <f>'Bright Sky'!F18</f>
        <v>0.55401119573548552</v>
      </c>
      <c r="G18" s="16">
        <f>'Bright Sky'!G18</f>
        <v>0.51460075208546341</v>
      </c>
      <c r="H18" s="16">
        <f>'Bright Sky'!H18</f>
        <v>0.51140026946649686</v>
      </c>
      <c r="I18" s="16">
        <f>'Bright Sky'!I18</f>
        <v>0.54962734102177535</v>
      </c>
      <c r="J18" s="16">
        <f>'Bright Sky'!J18</f>
        <v>0.43374909926912125</v>
      </c>
      <c r="K18" s="16">
        <f>'Bright Sky'!K18</f>
        <v>0.48032056990204808</v>
      </c>
      <c r="L18" s="16">
        <f>'Bright Sky'!L18</f>
        <v>0.49300490980305622</v>
      </c>
      <c r="M18" s="16">
        <f>'Bright Sky'!M18</f>
        <v>0.55457096579780019</v>
      </c>
      <c r="N18" s="16">
        <f>'Bright Sky'!N18</f>
        <v>0.41956096827544731</v>
      </c>
      <c r="O18" s="16">
        <f>'Bright Sky'!O18</f>
        <v>0.41685921440522672</v>
      </c>
      <c r="P18" s="25">
        <f>P23/P26</f>
        <v>0.50088603340916149</v>
      </c>
      <c r="R18" s="5">
        <f>ROW(C18)</f>
        <v>18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9.5" customHeight="1">
      <c r="A19" s="3"/>
      <c r="B19" s="200"/>
      <c r="C19" s="59" t="s">
        <v>19</v>
      </c>
      <c r="D19" s="37">
        <f>'Bright Sky'!D19</f>
        <v>840.93700000000001</v>
      </c>
      <c r="E19" s="37">
        <f>'Bright Sky'!E19</f>
        <v>1171.0119999999999</v>
      </c>
      <c r="F19" s="37">
        <f>'Bright Sky'!F19</f>
        <v>1184.761</v>
      </c>
      <c r="G19" s="37">
        <f>'Bright Sky'!G19</f>
        <v>725.60799999999995</v>
      </c>
      <c r="H19" s="37">
        <f>'Bright Sky'!H19</f>
        <v>803.63499999999999</v>
      </c>
      <c r="I19" s="37">
        <f>'Bright Sky'!I19</f>
        <v>971.51099999999997</v>
      </c>
      <c r="J19" s="37">
        <f>'Bright Sky'!J19</f>
        <v>764.47</v>
      </c>
      <c r="K19" s="37">
        <f>'Bright Sky'!K19</f>
        <v>701.85199999999998</v>
      </c>
      <c r="L19" s="18">
        <f>'Bright Sky'!L19</f>
        <v>760.76900000000001</v>
      </c>
      <c r="M19" s="18">
        <f>'Bright Sky'!M19</f>
        <v>989.93499999999995</v>
      </c>
      <c r="N19" s="18">
        <f>'Bright Sky'!N19</f>
        <v>693.14599999999996</v>
      </c>
      <c r="O19" s="18">
        <f>'Bright Sky'!O19</f>
        <v>694.39099999999996</v>
      </c>
      <c r="P19" s="26">
        <f>SUM(D19:O19)</f>
        <v>10302.027</v>
      </c>
      <c r="R19" s="5">
        <f>ROW(C19)</f>
        <v>19</v>
      </c>
    </row>
    <row r="20" spans="1:60" ht="19.5" customHeight="1">
      <c r="A20" s="3"/>
      <c r="B20" s="200"/>
      <c r="C20" s="59" t="s">
        <v>60</v>
      </c>
      <c r="D20" s="37">
        <f>'Bright Sky'!D20</f>
        <v>58</v>
      </c>
      <c r="E20" s="37">
        <f>'Bright Sky'!E20</f>
        <v>56</v>
      </c>
      <c r="F20" s="37">
        <f>'Bright Sky'!F20</f>
        <v>42</v>
      </c>
      <c r="G20" s="37">
        <f>'Bright Sky'!G20</f>
        <v>54</v>
      </c>
      <c r="H20" s="37">
        <f>'Bright Sky'!H20</f>
        <v>68</v>
      </c>
      <c r="I20" s="37">
        <f>'Bright Sky'!I20</f>
        <v>57</v>
      </c>
      <c r="J20" s="37">
        <f>'Bright Sky'!J20</f>
        <v>72</v>
      </c>
      <c r="K20" s="37">
        <f>'Bright Sky'!K20</f>
        <v>55</v>
      </c>
      <c r="L20" s="18">
        <f>'Bright Sky'!L20</f>
        <v>55</v>
      </c>
      <c r="M20" s="18">
        <f>'Bright Sky'!M20</f>
        <v>72</v>
      </c>
      <c r="N20" s="18">
        <f>'Bright Sky'!N20</f>
        <v>41</v>
      </c>
      <c r="O20" s="18">
        <f>'Bright Sky'!O20</f>
        <v>54</v>
      </c>
      <c r="P20" s="26">
        <f>AVERAGE(D20:H20)</f>
        <v>55.6</v>
      </c>
    </row>
    <row r="21" spans="1:60" ht="19.5" customHeight="1">
      <c r="A21" s="3"/>
      <c r="B21" s="200"/>
      <c r="C21" s="59" t="s">
        <v>15</v>
      </c>
      <c r="D21" s="37"/>
      <c r="E21" s="37">
        <f>'Bright Sky'!E21</f>
        <v>38</v>
      </c>
      <c r="F21" s="37">
        <f>'Bright Sky'!F21</f>
        <v>21</v>
      </c>
      <c r="G21" s="37">
        <f>'Bright Sky'!G21</f>
        <v>31</v>
      </c>
      <c r="H21" s="37">
        <f>'Bright Sky'!H21</f>
        <v>57</v>
      </c>
      <c r="I21" s="37">
        <f>'Bright Sky'!I21</f>
        <v>29</v>
      </c>
      <c r="J21" s="37">
        <f>'Bright Sky'!J21</f>
        <v>52</v>
      </c>
      <c r="K21" s="37">
        <f>'Bright Sky'!K21</f>
        <v>22</v>
      </c>
      <c r="L21" s="18">
        <f>'Bright Sky'!L21</f>
        <v>22</v>
      </c>
      <c r="M21" s="18">
        <f>'Bright Sky'!M21</f>
        <v>50</v>
      </c>
      <c r="N21" s="18">
        <f>'Bright Sky'!N21</f>
        <v>23</v>
      </c>
      <c r="O21" s="18">
        <f>'Bright Sky'!O21</f>
        <v>41</v>
      </c>
      <c r="P21" s="26">
        <f>AVERAGE(D21:H21)</f>
        <v>36.75</v>
      </c>
    </row>
    <row r="22" spans="1:60" ht="19.5" customHeight="1">
      <c r="A22" s="3"/>
      <c r="B22" s="200"/>
      <c r="C22" s="60" t="s">
        <v>59</v>
      </c>
      <c r="D22" s="38">
        <f>'Bright Sky'!D22</f>
        <v>14.498913793103448</v>
      </c>
      <c r="E22" s="38">
        <f>'Bright Sky'!E22</f>
        <v>20.91092857142857</v>
      </c>
      <c r="F22" s="38">
        <f>'Bright Sky'!F22</f>
        <v>28.208595238095238</v>
      </c>
      <c r="G22" s="38">
        <f>'Bright Sky'!G22</f>
        <v>13.437185185185184</v>
      </c>
      <c r="H22" s="38">
        <f>'Bright Sky'!H22</f>
        <v>11.818161764705883</v>
      </c>
      <c r="I22" s="38">
        <f>'Bright Sky'!I22</f>
        <v>17.044052631578946</v>
      </c>
      <c r="J22" s="38">
        <f>'Bright Sky'!J22</f>
        <v>10.617638888888889</v>
      </c>
      <c r="K22" s="38">
        <f>'Bright Sky'!K22</f>
        <v>12.760945454545453</v>
      </c>
      <c r="L22" s="17">
        <f>'Bright Sky'!L22</f>
        <v>13.832163636363637</v>
      </c>
      <c r="M22" s="17">
        <f>'Bright Sky'!M22</f>
        <v>13.749097222222222</v>
      </c>
      <c r="N22" s="17">
        <f>'Bright Sky'!N22</f>
        <v>16.905999999999999</v>
      </c>
      <c r="O22" s="17">
        <f>'Bright Sky'!O22</f>
        <v>12.859092592592592</v>
      </c>
      <c r="P22" s="26">
        <f>AVERAGE(D22:H22)</f>
        <v>17.774756910503662</v>
      </c>
    </row>
    <row r="23" spans="1:60" s="2" customFormat="1" ht="19.5" customHeight="1">
      <c r="A23" s="11"/>
      <c r="B23" s="200"/>
      <c r="C23" s="60" t="s">
        <v>21</v>
      </c>
      <c r="D23" s="37">
        <f>'Bright Sky'!D23</f>
        <v>5530.8532210000003</v>
      </c>
      <c r="E23" s="37">
        <f>'Bright Sky'!E23</f>
        <v>6489.4867189999995</v>
      </c>
      <c r="F23" s="37">
        <f>'Bright Sky'!F23</f>
        <v>7199.1982049999997</v>
      </c>
      <c r="G23" s="37">
        <f>'Bright Sky'!G23</f>
        <v>5073.3047265999994</v>
      </c>
      <c r="H23" s="37">
        <f>'Bright Sky'!H23</f>
        <v>6555.0877419999988</v>
      </c>
      <c r="I23" s="37">
        <f>'Bright Sky'!I23</f>
        <v>6868.5169999999998</v>
      </c>
      <c r="J23" s="37">
        <f>'Bright Sky'!J23</f>
        <v>6067.56</v>
      </c>
      <c r="K23" s="37">
        <f>'Bright Sky'!K23</f>
        <v>6796.4400000000005</v>
      </c>
      <c r="L23" s="18">
        <f>'Bright Sky'!L23</f>
        <v>5362.02</v>
      </c>
      <c r="M23" s="18">
        <f>'Bright Sky'!M23</f>
        <v>7066.92</v>
      </c>
      <c r="N23" s="18">
        <f>'Bright Sky'!N23</f>
        <v>4688.04</v>
      </c>
      <c r="O23" s="18">
        <f>'Bright Sky'!O23</f>
        <v>5650.56</v>
      </c>
      <c r="P23" s="27">
        <f>SUM(D23:O23)</f>
        <v>73347.987613599995</v>
      </c>
      <c r="R23" s="5">
        <f>ROW(C23)</f>
        <v>23</v>
      </c>
    </row>
    <row r="24" spans="1:60" ht="19.5" customHeight="1">
      <c r="A24" s="3"/>
      <c r="B24" s="200"/>
      <c r="C24" s="60" t="s">
        <v>8</v>
      </c>
      <c r="D24" s="37">
        <f>'Bright Sky'!D24</f>
        <v>822.95238095238096</v>
      </c>
      <c r="E24" s="37">
        <f>'Bright Sky'!E24</f>
        <v>846.47826086956525</v>
      </c>
      <c r="F24" s="37">
        <f>'Bright Sky'!F24</f>
        <v>870.36</v>
      </c>
      <c r="G24" s="37">
        <f>'Bright Sky'!G24</f>
        <v>881.63157894736844</v>
      </c>
      <c r="H24" s="37">
        <f>'Bright Sky'!H24</f>
        <v>870.12</v>
      </c>
      <c r="I24" s="37">
        <f>'Bright Sky'!I24</f>
        <v>913</v>
      </c>
      <c r="J24" s="37">
        <f>'Bright Sky'!J24</f>
        <v>902</v>
      </c>
      <c r="K24" s="37">
        <f>'Bright Sky'!K24</f>
        <v>911</v>
      </c>
      <c r="L24" s="18">
        <f>'Bright Sky'!L24</f>
        <v>916</v>
      </c>
      <c r="M24" s="18">
        <f>'Bright Sky'!M24</f>
        <v>923</v>
      </c>
      <c r="N24" s="18">
        <f>'Bright Sky'!N24</f>
        <v>904</v>
      </c>
      <c r="O24" s="18">
        <f>'Bright Sky'!O24</f>
        <v>883</v>
      </c>
      <c r="P24" s="81">
        <f>AVERAGE(D24:O24)</f>
        <v>886.96185173077629</v>
      </c>
      <c r="R24" s="5">
        <f>ROW(C24)</f>
        <v>24</v>
      </c>
    </row>
    <row r="25" spans="1:60" ht="19.5" customHeight="1">
      <c r="A25" s="3"/>
      <c r="B25" s="200"/>
      <c r="C25" s="60" t="s">
        <v>7</v>
      </c>
      <c r="D25" s="19">
        <f>'Bright Sky'!D25</f>
        <v>0.46389649433617869</v>
      </c>
      <c r="E25" s="19">
        <f>'Bright Sky'!E25</f>
        <v>0.4771579824518406</v>
      </c>
      <c r="F25" s="19">
        <f>'Bright Sky'!F25</f>
        <v>0.49062006764374294</v>
      </c>
      <c r="G25" s="19">
        <f>'Bright Sky'!G25</f>
        <v>0.4969738325520679</v>
      </c>
      <c r="H25" s="19">
        <f>'Bright Sky'!H25</f>
        <v>0.49048478015783542</v>
      </c>
      <c r="I25" s="19">
        <f>'Bright Sky'!I25</f>
        <v>0.51465614430665163</v>
      </c>
      <c r="J25" s="19">
        <f>'Bright Sky'!J25</f>
        <v>0.50845546786922213</v>
      </c>
      <c r="K25" s="19">
        <f>'Bright Sky'!K25</f>
        <v>0.51352874859075537</v>
      </c>
      <c r="L25" s="19">
        <f>'Bright Sky'!L25</f>
        <v>0.51634723788049608</v>
      </c>
      <c r="M25" s="19">
        <f>'Bright Sky'!M25</f>
        <v>0.52029312288613305</v>
      </c>
      <c r="N25" s="19">
        <f>'Bright Sky'!N25</f>
        <v>0.5095828635851184</v>
      </c>
      <c r="O25" s="19">
        <f>'Bright Sky'!O25</f>
        <v>0.49774520856820742</v>
      </c>
      <c r="P25" s="81"/>
    </row>
    <row r="26" spans="1:60" ht="19.5" customHeight="1">
      <c r="A26" s="3"/>
      <c r="B26" s="200"/>
      <c r="C26" s="60" t="s">
        <v>20</v>
      </c>
      <c r="D26" s="18">
        <f>'Bright Sky'!D26</f>
        <v>10305.36</v>
      </c>
      <c r="E26" s="18">
        <f>'Bright Sky'!E26</f>
        <v>11476.68</v>
      </c>
      <c r="F26" s="18">
        <f>'Bright Sky'!F26</f>
        <v>12994.68</v>
      </c>
      <c r="G26" s="18">
        <f>'Bright Sky'!G26</f>
        <v>9858.7199999999993</v>
      </c>
      <c r="H26" s="18">
        <f>'Bright Sky'!H26</f>
        <v>12817.92</v>
      </c>
      <c r="I26" s="18">
        <f>'Bright Sky'!I26</f>
        <v>12496.68</v>
      </c>
      <c r="J26" s="18">
        <f>'Bright Sky'!J26</f>
        <v>13988.64</v>
      </c>
      <c r="K26" s="18">
        <f>'Bright Sky'!K26</f>
        <v>14149.800000000001</v>
      </c>
      <c r="L26" s="18">
        <f>'Bright Sky'!L26</f>
        <v>10876.2</v>
      </c>
      <c r="M26" s="18">
        <f>'Bright Sky'!M26</f>
        <v>12743.04</v>
      </c>
      <c r="N26" s="18">
        <f>'Bright Sky'!N26</f>
        <v>11173.68</v>
      </c>
      <c r="O26" s="18">
        <f>'Bright Sky'!O26</f>
        <v>13555.08</v>
      </c>
      <c r="P26" s="27">
        <f>SUM(D26:O26)</f>
        <v>146436.47999999998</v>
      </c>
      <c r="R26" s="5">
        <f>ROW(C26)</f>
        <v>26</v>
      </c>
    </row>
    <row r="27" spans="1:60" ht="19.5" customHeight="1">
      <c r="A27" s="3"/>
      <c r="B27" s="200"/>
      <c r="C27" s="60" t="s">
        <v>9</v>
      </c>
      <c r="D27" s="21">
        <f>'Bright Sky'!D27</f>
        <v>6.5770125716908643</v>
      </c>
      <c r="E27" s="21">
        <f>'Bright Sky'!E27</f>
        <v>5.5417764455018395</v>
      </c>
      <c r="F27" s="21">
        <f>'Bright Sky'!F27</f>
        <v>6.0764983021892176</v>
      </c>
      <c r="G27" s="21">
        <f>'Bright Sky'!G27</f>
        <v>6.991798225212511</v>
      </c>
      <c r="H27" s="21">
        <f>'Bright Sky'!H27</f>
        <v>8.1567972300857967</v>
      </c>
      <c r="I27" s="21">
        <f>'Bright Sky'!I27</f>
        <v>7.069932301332666</v>
      </c>
      <c r="J27" s="21">
        <f>'Bright Sky'!J27</f>
        <v>7.9369497822020483</v>
      </c>
      <c r="K27" s="21">
        <f>'Bright Sky'!K27</f>
        <v>9.6835800140200501</v>
      </c>
      <c r="L27" s="21">
        <f>'Bright Sky'!L27</f>
        <v>7.0481578508062244</v>
      </c>
      <c r="M27" s="21">
        <f>'Bright Sky'!M27</f>
        <v>7.1387717375383239</v>
      </c>
      <c r="N27" s="21">
        <f>'Bright Sky'!N27</f>
        <v>6.7634235788708299</v>
      </c>
      <c r="O27" s="21">
        <f>'Bright Sky'!O27</f>
        <v>8.1374326568172695</v>
      </c>
      <c r="P27" s="28">
        <f>P23/P19</f>
        <v>7.1197627043299336</v>
      </c>
      <c r="R27" s="5">
        <f>ROW(C27)</f>
        <v>27</v>
      </c>
    </row>
    <row r="28" spans="1:60" ht="19.5" customHeight="1">
      <c r="A28" s="3"/>
      <c r="B28" s="200"/>
      <c r="C28" s="60" t="s">
        <v>22</v>
      </c>
      <c r="D28" s="37">
        <f>'Bright Sky'!D28</f>
        <v>2796.1408240000001</v>
      </c>
      <c r="E28" s="37">
        <f>'Bright Sky'!E28</f>
        <v>2950.7770850000002</v>
      </c>
      <c r="F28" s="37">
        <f>'Bright Sky'!F28</f>
        <v>3439.1372799999995</v>
      </c>
      <c r="G28" s="37">
        <f>'Bright Sky'!G28</f>
        <v>2890.8669650000002</v>
      </c>
      <c r="H28" s="37">
        <f>'Bright Sky'!H28</f>
        <v>3435.98954</v>
      </c>
      <c r="I28" s="37">
        <f>'Bright Sky'!I28</f>
        <v>3157.917019</v>
      </c>
      <c r="J28" s="37">
        <f>'Bright Sky'!J28</f>
        <v>3467.11411</v>
      </c>
      <c r="K28" s="37">
        <f>'Bright Sky'!K28</f>
        <v>4341.5050000000001</v>
      </c>
      <c r="L28" s="18">
        <f>'Bright Sky'!L28</f>
        <v>2713.7370000000001</v>
      </c>
      <c r="M28" s="18">
        <f>'Bright Sky'!M28</f>
        <v>3698.422</v>
      </c>
      <c r="N28" s="18">
        <f>'Bright Sky'!N28</f>
        <v>2294.4380000000001</v>
      </c>
      <c r="O28" s="18">
        <f>'Bright Sky'!O28</f>
        <v>2772.9479999999999</v>
      </c>
      <c r="P28" s="27">
        <f>SUM(D28:O28)</f>
        <v>37958.992823</v>
      </c>
      <c r="R28" s="5">
        <f>ROW(C28)</f>
        <v>28</v>
      </c>
    </row>
    <row r="29" spans="1:60" ht="19.5" customHeight="1">
      <c r="A29" s="3"/>
      <c r="B29" s="200"/>
      <c r="C29" s="61" t="s">
        <v>10</v>
      </c>
      <c r="D29" s="22">
        <f>'Bright Sky'!D29</f>
        <v>3.3250300842988239</v>
      </c>
      <c r="E29" s="22">
        <f>'Bright Sky'!E29</f>
        <v>2.519852132172856</v>
      </c>
      <c r="F29" s="22">
        <f>'Bright Sky'!F29</f>
        <v>2.9028110142045525</v>
      </c>
      <c r="G29" s="22">
        <f>'Bright Sky'!G29</f>
        <v>3.9840615938633537</v>
      </c>
      <c r="H29" s="22">
        <f>'Bright Sky'!H29</f>
        <v>4.2755598499318719</v>
      </c>
      <c r="I29" s="22">
        <f>'Bright Sky'!I29</f>
        <v>3.2505211150465616</v>
      </c>
      <c r="J29" s="22">
        <f>'Bright Sky'!J29</f>
        <v>4.5353174225280259</v>
      </c>
      <c r="K29" s="22">
        <f>'Bright Sky'!K29</f>
        <v>6.1857841824202255</v>
      </c>
      <c r="L29" s="22">
        <f>'Bright Sky'!L29</f>
        <v>3.5670972397666048</v>
      </c>
      <c r="M29" s="22">
        <f>'Bright Sky'!M29</f>
        <v>3.7360250925565821</v>
      </c>
      <c r="N29" s="22">
        <f>'Bright Sky'!N29</f>
        <v>3.3101799620859103</v>
      </c>
      <c r="O29" s="22">
        <f>'Bright Sky'!O29</f>
        <v>3.9933524484044294</v>
      </c>
      <c r="P29" s="29">
        <f t="shared" ref="P29" si="1">P28/P19</f>
        <v>3.6846139913048179</v>
      </c>
      <c r="R29" s="5">
        <f>ROW(C29)</f>
        <v>29</v>
      </c>
    </row>
    <row r="30" spans="1:60" ht="19.5" customHeight="1" thickBot="1">
      <c r="A30" s="3"/>
      <c r="B30" s="201"/>
      <c r="C30" s="62" t="s">
        <v>23</v>
      </c>
      <c r="D30" s="23">
        <f>'Bright Sky'!D30</f>
        <v>133.14956304761904</v>
      </c>
      <c r="E30" s="23">
        <f>'Bright Sky'!E30</f>
        <v>128.29465586956522</v>
      </c>
      <c r="F30" s="23">
        <f>'Bright Sky'!F30</f>
        <v>132.27451076923074</v>
      </c>
      <c r="G30" s="23">
        <f>'Bright Sky'!G30</f>
        <v>144.54334825000001</v>
      </c>
      <c r="H30" s="23">
        <f>'Bright Sky'!H30</f>
        <v>137.4395816</v>
      </c>
      <c r="I30" s="23">
        <f>'Bright Sky'!I30</f>
        <v>137.30073995652174</v>
      </c>
      <c r="J30" s="23">
        <f>'Bright Sky'!J30</f>
        <v>133.3505426923077</v>
      </c>
      <c r="K30" s="23">
        <f>'Bright Sky'!K30</f>
        <v>166.98096153846154</v>
      </c>
      <c r="L30" s="23">
        <f>'Bright Sky'!L30</f>
        <v>135.68684999999999</v>
      </c>
      <c r="M30" s="23">
        <f>'Bright Sky'!M30</f>
        <v>136.97859259259261</v>
      </c>
      <c r="N30" s="23">
        <f>'Bright Sky'!N30</f>
        <v>109.25895238095238</v>
      </c>
      <c r="O30" s="23">
        <f>'Bright Sky'!O30</f>
        <v>106.65184615384615</v>
      </c>
      <c r="P30" s="30">
        <f>P28/P$4</f>
        <v>133.65842543309859</v>
      </c>
      <c r="R30" s="5">
        <f>ROW(C30)</f>
        <v>30</v>
      </c>
    </row>
    <row r="31" spans="1:60" ht="19.5" customHeight="1">
      <c r="A31" s="3"/>
      <c r="B31" s="199" t="s">
        <v>48</v>
      </c>
      <c r="C31" s="58" t="s">
        <v>0</v>
      </c>
      <c r="D31" s="16">
        <f>'Bright Sky'!D31</f>
        <v>0.48357539350143558</v>
      </c>
      <c r="E31" s="16">
        <f>'Bright Sky'!E31</f>
        <v>0.47910698709676397</v>
      </c>
      <c r="F31" s="16">
        <f>'Bright Sky'!F31</f>
        <v>0.4540883666970294</v>
      </c>
      <c r="G31" s="16">
        <f>'Bright Sky'!G31</f>
        <v>0.41130513216171327</v>
      </c>
      <c r="H31" s="16">
        <f>'Bright Sky'!H31</f>
        <v>0.41572358802664278</v>
      </c>
      <c r="I31" s="16">
        <f>'Bright Sky'!I31</f>
        <v>0.42895645396044357</v>
      </c>
      <c r="J31" s="16">
        <f>'Bright Sky'!J31</f>
        <v>0.3800721555865107</v>
      </c>
      <c r="K31" s="16">
        <f>'Bright Sky'!K31</f>
        <v>0.44161821902952514</v>
      </c>
      <c r="L31" s="16">
        <f>'Bright Sky'!L31</f>
        <v>0.41725530037697517</v>
      </c>
      <c r="M31" s="16">
        <f>'Bright Sky'!M31</f>
        <v>0.44931806778269401</v>
      </c>
      <c r="N31" s="16">
        <f>'Bright Sky'!N31</f>
        <v>0.38892273001725902</v>
      </c>
      <c r="O31" s="16">
        <f>'Bright Sky'!O31</f>
        <v>0.42523019448412269</v>
      </c>
      <c r="P31" s="25">
        <f>P36/P39</f>
        <v>0.43113483602076957</v>
      </c>
      <c r="R31" s="5">
        <f>ROW(C31)</f>
        <v>31</v>
      </c>
    </row>
    <row r="32" spans="1:60" ht="19.5" customHeight="1">
      <c r="A32" s="3"/>
      <c r="B32" s="200"/>
      <c r="C32" s="59" t="s">
        <v>19</v>
      </c>
      <c r="D32" s="37">
        <f>'Bright Sky'!D32</f>
        <v>1303.548</v>
      </c>
      <c r="E32" s="37">
        <f>'Bright Sky'!E32</f>
        <v>1730.2280000000001</v>
      </c>
      <c r="F32" s="37">
        <f>'Bright Sky'!F32</f>
        <v>1721.2339999999999</v>
      </c>
      <c r="G32" s="37">
        <f>'Bright Sky'!G32</f>
        <v>940.87399999999991</v>
      </c>
      <c r="H32" s="37">
        <f>'Bright Sky'!H32</f>
        <v>1040.4939999999999</v>
      </c>
      <c r="I32" s="37">
        <f>'Bright Sky'!I32</f>
        <v>1210.6659999999999</v>
      </c>
      <c r="J32" s="37">
        <f>'Bright Sky'!J32</f>
        <v>1039.1950000000002</v>
      </c>
      <c r="K32" s="37">
        <f>'Bright Sky'!K32</f>
        <v>1115.0439999999999</v>
      </c>
      <c r="L32" s="18">
        <f>'Bright Sky'!L32</f>
        <v>1162.6500000000001</v>
      </c>
      <c r="M32" s="18">
        <f>'Bright Sky'!M32</f>
        <v>1345.797</v>
      </c>
      <c r="N32" s="18">
        <f>'Bright Sky'!N32</f>
        <v>1021.05</v>
      </c>
      <c r="O32" s="18">
        <f>'Bright Sky'!O32</f>
        <v>1087.569</v>
      </c>
      <c r="P32" s="26">
        <f>SUM(D32:O32)</f>
        <v>14718.348999999998</v>
      </c>
      <c r="R32" s="5">
        <f>ROW(C32)</f>
        <v>32</v>
      </c>
    </row>
    <row r="33" spans="1:18" ht="19.5" customHeight="1">
      <c r="A33" s="3"/>
      <c r="B33" s="200"/>
      <c r="C33" s="59" t="s">
        <v>60</v>
      </c>
      <c r="D33" s="37">
        <f>'Bright Sky'!D33</f>
        <v>93</v>
      </c>
      <c r="E33" s="37">
        <f>'Bright Sky'!E33</f>
        <v>89</v>
      </c>
      <c r="F33" s="37">
        <f>'Bright Sky'!F33</f>
        <v>71</v>
      </c>
      <c r="G33" s="37">
        <f>'Bright Sky'!G33</f>
        <v>84</v>
      </c>
      <c r="H33" s="37">
        <f>'Bright Sky'!H33</f>
        <v>104</v>
      </c>
      <c r="I33" s="37">
        <f>'Bright Sky'!I33</f>
        <v>91</v>
      </c>
      <c r="J33" s="37">
        <f>'Bright Sky'!J33</f>
        <v>105</v>
      </c>
      <c r="K33" s="37">
        <f>'Bright Sky'!K33</f>
        <v>89</v>
      </c>
      <c r="L33" s="18">
        <f>'Bright Sky'!L33</f>
        <v>92</v>
      </c>
      <c r="M33" s="18">
        <f>'Bright Sky'!M33</f>
        <v>113</v>
      </c>
      <c r="N33" s="18">
        <f>'Bright Sky'!N33</f>
        <v>72</v>
      </c>
      <c r="O33" s="18">
        <f>'Bright Sky'!O33</f>
        <v>85</v>
      </c>
      <c r="P33" s="26">
        <f>AVERAGE(D33:H33)</f>
        <v>88.2</v>
      </c>
    </row>
    <row r="34" spans="1:18" ht="19.5" customHeight="1">
      <c r="A34" s="3"/>
      <c r="B34" s="200"/>
      <c r="C34" s="59" t="s">
        <v>15</v>
      </c>
      <c r="D34" s="37"/>
      <c r="E34" s="37">
        <f>'Bright Sky'!E34</f>
        <v>54</v>
      </c>
      <c r="F34" s="37">
        <f>'Bright Sky'!F34</f>
        <v>40</v>
      </c>
      <c r="G34" s="37">
        <f>'Bright Sky'!G34</f>
        <v>45</v>
      </c>
      <c r="H34" s="37">
        <f>'Bright Sky'!H34</f>
        <v>76</v>
      </c>
      <c r="I34" s="37">
        <f>'Bright Sky'!I34</f>
        <v>45</v>
      </c>
      <c r="J34" s="37">
        <f>'Bright Sky'!J34</f>
        <v>65</v>
      </c>
      <c r="K34" s="37">
        <f>'Bright Sky'!K34</f>
        <v>39</v>
      </c>
      <c r="L34" s="18">
        <f>'Bright Sky'!L34</f>
        <v>45</v>
      </c>
      <c r="M34" s="18">
        <f>'Bright Sky'!M34</f>
        <v>74</v>
      </c>
      <c r="N34" s="18">
        <f>'Bright Sky'!N34</f>
        <v>40</v>
      </c>
      <c r="O34" s="18">
        <f>'Bright Sky'!O34</f>
        <v>56</v>
      </c>
      <c r="P34" s="26">
        <f>AVERAGE(D34:H34)</f>
        <v>53.75</v>
      </c>
    </row>
    <row r="35" spans="1:18" ht="19.5" customHeight="1">
      <c r="A35" s="3"/>
      <c r="B35" s="200"/>
      <c r="C35" s="60" t="s">
        <v>59</v>
      </c>
      <c r="D35" s="38">
        <f>D32/D33</f>
        <v>14.016645161290322</v>
      </c>
      <c r="E35" s="38">
        <f>E32/E33</f>
        <v>19.440764044943823</v>
      </c>
      <c r="F35" s="38">
        <f t="shared" ref="F35:O35" si="2">F32/F33</f>
        <v>24.242732394366197</v>
      </c>
      <c r="G35" s="38">
        <f t="shared" si="2"/>
        <v>11.200880952380951</v>
      </c>
      <c r="H35" s="38">
        <f t="shared" si="2"/>
        <v>10.00475</v>
      </c>
      <c r="I35" s="38">
        <f t="shared" si="2"/>
        <v>13.304021978021977</v>
      </c>
      <c r="J35" s="38">
        <f t="shared" si="2"/>
        <v>9.8970952380952397</v>
      </c>
      <c r="K35" s="38">
        <f t="shared" si="2"/>
        <v>12.52858426966292</v>
      </c>
      <c r="L35" s="38">
        <f t="shared" si="2"/>
        <v>12.637500000000001</v>
      </c>
      <c r="M35" s="38">
        <f t="shared" si="2"/>
        <v>11.90970796460177</v>
      </c>
      <c r="N35" s="38">
        <f t="shared" si="2"/>
        <v>14.181249999999999</v>
      </c>
      <c r="O35" s="38">
        <f t="shared" si="2"/>
        <v>12.794929411764706</v>
      </c>
      <c r="P35" s="26">
        <f>AVERAGE(D35:H35)</f>
        <v>15.781154510596261</v>
      </c>
    </row>
    <row r="36" spans="1:18" ht="19.5" customHeight="1">
      <c r="A36" s="3"/>
      <c r="B36" s="200"/>
      <c r="C36" s="60" t="s">
        <v>21</v>
      </c>
      <c r="D36" s="37">
        <f>'Bright Sky'!D36</f>
        <v>10772.570355</v>
      </c>
      <c r="E36" s="37">
        <f>'Bright Sky'!E36</f>
        <v>12073.438582000001</v>
      </c>
      <c r="F36" s="37">
        <f>'Bright Sky'!F36</f>
        <v>12861.689716000001</v>
      </c>
      <c r="G36" s="37">
        <f>'Bright Sky'!G36</f>
        <v>8818.5465555999981</v>
      </c>
      <c r="H36" s="37">
        <f>'Bright Sky'!H36</f>
        <v>11279.512163999998</v>
      </c>
      <c r="I36" s="37">
        <f>'Bright Sky'!I36</f>
        <v>11611.937</v>
      </c>
      <c r="J36" s="37">
        <f>'Bright Sky'!J36</f>
        <v>11099.46</v>
      </c>
      <c r="K36" s="37">
        <f>'Bright Sky'!K36</f>
        <v>12998.52</v>
      </c>
      <c r="L36" s="18">
        <f>'Bright Sky'!L36</f>
        <v>9363.9600000000009</v>
      </c>
      <c r="M36" s="18">
        <f>'Bright Sky'!M36</f>
        <v>11820.48</v>
      </c>
      <c r="N36" s="18">
        <f>'Bright Sky'!N36</f>
        <v>8734.380000000001</v>
      </c>
      <c r="O36" s="18">
        <f>'Bright Sky'!O36</f>
        <v>11610.060000000001</v>
      </c>
      <c r="P36" s="27">
        <f>SUM(D36:O36)</f>
        <v>133044.55437260002</v>
      </c>
      <c r="R36" s="5">
        <f>ROW(C36)</f>
        <v>36</v>
      </c>
    </row>
    <row r="37" spans="1:18" ht="19.5" customHeight="1">
      <c r="A37" s="3"/>
      <c r="B37" s="200"/>
      <c r="C37" s="60" t="s">
        <v>8</v>
      </c>
      <c r="D37" s="37">
        <f>'Bright Sky'!D37</f>
        <v>1713.4306418219462</v>
      </c>
      <c r="E37" s="37">
        <f>'Bright Sky'!E37</f>
        <v>1848.1304347826087</v>
      </c>
      <c r="F37" s="37">
        <f>'Bright Sky'!F37</f>
        <v>1900.04</v>
      </c>
      <c r="G37" s="37">
        <f>'Bright Sky'!G37</f>
        <v>1888.9815789473685</v>
      </c>
      <c r="H37" s="37">
        <f>'Bright Sky'!H37</f>
        <v>1843.96</v>
      </c>
      <c r="I37" s="37">
        <f>'Bright Sky'!I37</f>
        <v>1898</v>
      </c>
      <c r="J37" s="37">
        <f>'Bright Sky'!J37</f>
        <v>1884</v>
      </c>
      <c r="K37" s="37">
        <f>'Bright Sky'!K37</f>
        <v>1899</v>
      </c>
      <c r="L37" s="18">
        <f>'Bright Sky'!L37</f>
        <v>1900</v>
      </c>
      <c r="M37" s="18">
        <f>'Bright Sky'!M37</f>
        <v>1876</v>
      </c>
      <c r="N37" s="18">
        <f>'Bright Sky'!N37</f>
        <v>1816</v>
      </c>
      <c r="O37" s="18">
        <f>'Bright Sky'!O37</f>
        <v>1774</v>
      </c>
      <c r="P37" s="81">
        <f>AVERAGE(D37:O37)</f>
        <v>1853.4618879626603</v>
      </c>
      <c r="R37" s="5">
        <f>ROW(C37)</f>
        <v>37</v>
      </c>
    </row>
    <row r="38" spans="1:18" ht="19.5" customHeight="1">
      <c r="A38" s="3"/>
      <c r="B38" s="200"/>
      <c r="C38" s="60" t="s">
        <v>7</v>
      </c>
      <c r="D38" s="19">
        <f>'Bright Sky'!D38</f>
        <v>0.46233962272583545</v>
      </c>
      <c r="E38" s="19">
        <f>'Bright Sky'!E38</f>
        <v>0.49868603205143247</v>
      </c>
      <c r="F38" s="19">
        <f>'Bright Sky'!F38</f>
        <v>0.51269293038316244</v>
      </c>
      <c r="G38" s="19">
        <f>'Bright Sky'!G38</f>
        <v>0.5097090067316159</v>
      </c>
      <c r="H38" s="19">
        <f>'Bright Sky'!H38</f>
        <v>0.49756071235833782</v>
      </c>
      <c r="I38" s="19">
        <f>'Bright Sky'!I38</f>
        <v>0.5121424716675661</v>
      </c>
      <c r="J38" s="19">
        <f>'Bright Sky'!J38</f>
        <v>0.50836481381543441</v>
      </c>
      <c r="K38" s="19">
        <f>'Bright Sky'!K38</f>
        <v>0.51241230437128982</v>
      </c>
      <c r="L38" s="19">
        <f>'Bright Sky'!L38</f>
        <v>0.51268213707501353</v>
      </c>
      <c r="M38" s="19">
        <f>'Bright Sky'!M38</f>
        <v>0.50620615218564491</v>
      </c>
      <c r="N38" s="19">
        <f>'Bright Sky'!N38</f>
        <v>0.4900161899622234</v>
      </c>
      <c r="O38" s="19">
        <f>'Bright Sky'!O38</f>
        <v>0.47868321640582839</v>
      </c>
      <c r="P38" s="19">
        <f>'Bright Sky'!P38</f>
        <v>0.49717325320886813</v>
      </c>
    </row>
    <row r="39" spans="1:18" ht="19.5" customHeight="1">
      <c r="A39" s="3"/>
      <c r="B39" s="200"/>
      <c r="C39" s="60" t="s">
        <v>20</v>
      </c>
      <c r="D39" s="18">
        <f>'Bright Sky'!D39</f>
        <v>22276.92</v>
      </c>
      <c r="E39" s="18">
        <f>'Bright Sky'!E39</f>
        <v>25199.88</v>
      </c>
      <c r="F39" s="18">
        <f>'Bright Sky'!F39</f>
        <v>28324.2</v>
      </c>
      <c r="G39" s="18">
        <f>'Bright Sky'!G39</f>
        <v>21440.400000000001</v>
      </c>
      <c r="H39" s="18">
        <f>'Bright Sky'!H39</f>
        <v>27132.239999999998</v>
      </c>
      <c r="I39" s="18">
        <f>'Bright Sky'!I39</f>
        <v>27070.2</v>
      </c>
      <c r="J39" s="18">
        <f>'Bright Sky'!J39</f>
        <v>29203.559999999998</v>
      </c>
      <c r="K39" s="18">
        <f>'Bright Sky'!K39</f>
        <v>29433.840000000004</v>
      </c>
      <c r="L39" s="18">
        <f>'Bright Sky'!L39</f>
        <v>22441.8</v>
      </c>
      <c r="M39" s="18">
        <f>'Bright Sky'!M39</f>
        <v>26307.599999999999</v>
      </c>
      <c r="N39" s="18">
        <f>'Bright Sky'!N39</f>
        <v>22457.88</v>
      </c>
      <c r="O39" s="18">
        <f>'Bright Sky'!O39</f>
        <v>27303</v>
      </c>
      <c r="P39" s="27">
        <f>SUM(D39:O39)</f>
        <v>308591.51999999996</v>
      </c>
      <c r="R39" s="5">
        <f>ROW(C39)</f>
        <v>39</v>
      </c>
    </row>
    <row r="40" spans="1:18" ht="19.5" customHeight="1">
      <c r="A40" s="3"/>
      <c r="B40" s="200"/>
      <c r="C40" s="60" t="s">
        <v>9</v>
      </c>
      <c r="D40" s="21">
        <f>'Bright Sky'!D40</f>
        <v>8.2640381136713028</v>
      </c>
      <c r="E40" s="21">
        <f>'Bright Sky'!E40</f>
        <v>6.9779465954775901</v>
      </c>
      <c r="F40" s="21">
        <f>'Bright Sky'!F40</f>
        <v>7.4723655911979439</v>
      </c>
      <c r="G40" s="21">
        <f>'Bright Sky'!G40</f>
        <v>9.3727178725312843</v>
      </c>
      <c r="H40" s="21">
        <f>'Bright Sky'!H40</f>
        <v>10.840535518705536</v>
      </c>
      <c r="I40" s="21">
        <f>'Bright Sky'!I40</f>
        <v>9.5913629357725423</v>
      </c>
      <c r="J40" s="21">
        <f>'Bright Sky'!J40</f>
        <v>10.680825061706415</v>
      </c>
      <c r="K40" s="21">
        <f>'Bright Sky'!K40</f>
        <v>11.657405447677403</v>
      </c>
      <c r="L40" s="21">
        <f>'Bright Sky'!L40</f>
        <v>8.0539801315959227</v>
      </c>
      <c r="M40" s="21">
        <f>'Bright Sky'!M40</f>
        <v>8.7832563157742207</v>
      </c>
      <c r="N40" s="21">
        <f>'Bright Sky'!N40</f>
        <v>8.5543117379168514</v>
      </c>
      <c r="O40" s="21">
        <f>'Bright Sky'!O40</f>
        <v>10.67523991581224</v>
      </c>
      <c r="P40" s="28">
        <f>P36/P32</f>
        <v>9.0393667368942019</v>
      </c>
      <c r="R40" s="5">
        <f>ROW(C40)</f>
        <v>40</v>
      </c>
    </row>
    <row r="41" spans="1:18" ht="19.5" customHeight="1">
      <c r="A41" s="3"/>
      <c r="B41" s="200"/>
      <c r="C41" s="60" t="s">
        <v>22</v>
      </c>
      <c r="D41" s="37">
        <f>'Bright Sky'!D41</f>
        <v>5200.447639</v>
      </c>
      <c r="E41" s="37">
        <f>'Bright Sky'!E41</f>
        <v>5959.8621650000005</v>
      </c>
      <c r="F41" s="37">
        <f>'Bright Sky'!F41</f>
        <v>6672.7583499999982</v>
      </c>
      <c r="G41" s="37">
        <f>'Bright Sky'!G41</f>
        <v>5180.1265050000002</v>
      </c>
      <c r="H41" s="37">
        <f>'Bright Sky'!H41</f>
        <v>5821.1334299999999</v>
      </c>
      <c r="I41" s="37">
        <f>'Bright Sky'!I41</f>
        <v>5769.9843789999995</v>
      </c>
      <c r="J41" s="37">
        <f>'Bright Sky'!J41</f>
        <v>6578.3341700000001</v>
      </c>
      <c r="K41" s="37">
        <f>'Bright Sky'!K41</f>
        <v>7848.2170000000006</v>
      </c>
      <c r="L41" s="18">
        <f>'Bright Sky'!L41</f>
        <v>4759.26</v>
      </c>
      <c r="M41" s="18">
        <f>'Bright Sky'!M41</f>
        <v>6279.7370000000001</v>
      </c>
      <c r="N41" s="18">
        <f>'Bright Sky'!N41</f>
        <v>4426.5609999999997</v>
      </c>
      <c r="O41" s="18">
        <f>'Bright Sky'!O41</f>
        <v>5139.3220000000001</v>
      </c>
      <c r="P41" s="27">
        <f>SUM(D41:O41)</f>
        <v>69635.743638000014</v>
      </c>
      <c r="R41" s="5">
        <f>ROW(C41)</f>
        <v>41</v>
      </c>
    </row>
    <row r="42" spans="1:18" ht="19.5" customHeight="1">
      <c r="A42" s="3"/>
      <c r="B42" s="200"/>
      <c r="C42" s="61" t="s">
        <v>10</v>
      </c>
      <c r="D42" s="22">
        <f>'Bright Sky'!D42</f>
        <v>3.9894561911030508</v>
      </c>
      <c r="E42" s="22">
        <f>'Bright Sky'!E42</f>
        <v>3.4445530675725977</v>
      </c>
      <c r="F42" s="22">
        <f>'Bright Sky'!F42</f>
        <v>3.8767293406939429</v>
      </c>
      <c r="G42" s="22">
        <f>'Bright Sky'!G42</f>
        <v>5.5056537910495988</v>
      </c>
      <c r="H42" s="22">
        <f>'Bright Sky'!H42</f>
        <v>5.5945862542215528</v>
      </c>
      <c r="I42" s="22">
        <f>'Bright Sky'!I42</f>
        <v>4.7659588846139229</v>
      </c>
      <c r="J42" s="22">
        <f>'Bright Sky'!J42</f>
        <v>6.3302211519493445</v>
      </c>
      <c r="K42" s="22">
        <f>'Bright Sky'!K42</f>
        <v>7.0384818895039132</v>
      </c>
      <c r="L42" s="22">
        <f>'Bright Sky'!L42</f>
        <v>4.093458908527932</v>
      </c>
      <c r="M42" s="22">
        <f>'Bright Sky'!M42</f>
        <v>4.6661844245454551</v>
      </c>
      <c r="N42" s="22">
        <f>'Bright Sky'!N42</f>
        <v>4.3353028744919442</v>
      </c>
      <c r="O42" s="22">
        <f>'Bright Sky'!O42</f>
        <v>4.72551350764871</v>
      </c>
      <c r="P42" s="29">
        <f t="shared" ref="P42" si="3">P41/P32</f>
        <v>4.7312197609935751</v>
      </c>
      <c r="R42" s="5">
        <f>ROW(C42)</f>
        <v>42</v>
      </c>
    </row>
    <row r="43" spans="1:18" ht="19.5" customHeight="1" thickBot="1">
      <c r="A43" s="3"/>
      <c r="B43" s="201"/>
      <c r="C43" s="62" t="s">
        <v>23</v>
      </c>
      <c r="D43" s="23">
        <f>'Bright Sky'!D43</f>
        <v>247.64036376190475</v>
      </c>
      <c r="E43" s="23">
        <f>'Bright Sky'!E43</f>
        <v>259.12444195652176</v>
      </c>
      <c r="F43" s="23">
        <f>'Bright Sky'!F43</f>
        <v>256.64455192307685</v>
      </c>
      <c r="G43" s="23">
        <f>'Bright Sky'!G43</f>
        <v>259.00632525000003</v>
      </c>
      <c r="H43" s="23">
        <f>'Bright Sky'!H43</f>
        <v>232.84533719999999</v>
      </c>
      <c r="I43" s="23">
        <f>'Bright Sky'!I43</f>
        <v>250.86888604347823</v>
      </c>
      <c r="J43" s="23">
        <f>'Bright Sky'!J43</f>
        <v>253.01285269230769</v>
      </c>
      <c r="K43" s="23">
        <f>'Bright Sky'!K43</f>
        <v>301.85450000000003</v>
      </c>
      <c r="L43" s="23">
        <f>'Bright Sky'!L43</f>
        <v>237.96300000000002</v>
      </c>
      <c r="M43" s="23">
        <f>'Bright Sky'!M43</f>
        <v>232.58285185185184</v>
      </c>
      <c r="N43" s="23">
        <f>'Bright Sky'!N43</f>
        <v>210.78861904761902</v>
      </c>
      <c r="O43" s="23">
        <f>'Bright Sky'!O43</f>
        <v>197.66623076923076</v>
      </c>
      <c r="P43" s="30">
        <f>P41/P$4</f>
        <v>245.19628041549302</v>
      </c>
      <c r="R43" s="5">
        <f>ROW(C43)</f>
        <v>43</v>
      </c>
    </row>
    <row r="44" spans="1:18" s="10" customFormat="1" ht="19.5" customHeight="1">
      <c r="A44" s="9"/>
      <c r="B44" s="199" t="s">
        <v>17</v>
      </c>
      <c r="C44" s="58" t="s">
        <v>0</v>
      </c>
      <c r="D44" s="36">
        <f>VESTALLE!D5</f>
        <v>0.58446519264326291</v>
      </c>
      <c r="E44" s="36">
        <f>VESTALLE!E5</f>
        <v>0.65823023144685444</v>
      </c>
      <c r="F44" s="36">
        <f>VESTALLE!F5</f>
        <v>0.57493314217304825</v>
      </c>
      <c r="G44" s="36">
        <f>VESTALLE!G5</f>
        <v>0.52687854488558572</v>
      </c>
      <c r="H44" s="36">
        <f>VESTALLE!H5</f>
        <v>0.59094510712548987</v>
      </c>
      <c r="I44" s="36">
        <f>VESTALLE!I5</f>
        <v>0.56342143431136193</v>
      </c>
      <c r="J44" s="36">
        <f>VESTALLE!J5</f>
        <v>0.56215673320119852</v>
      </c>
      <c r="K44" s="36">
        <f>VESTALLE!K5</f>
        <v>0.59583427878022555</v>
      </c>
      <c r="L44" s="16">
        <f>VESTALLE!L5</f>
        <v>0.60419979262225021</v>
      </c>
      <c r="M44" s="16">
        <f>VESTALLE!M5</f>
        <v>0.53807024713220153</v>
      </c>
      <c r="N44" s="16">
        <f>VESTALLE!N5</f>
        <v>0.5871483923622054</v>
      </c>
      <c r="O44" s="16">
        <f>VESTALLE!O5</f>
        <v>0.57372753865440862</v>
      </c>
      <c r="P44" s="25">
        <f>P49/P52</f>
        <v>0.57898095770647318</v>
      </c>
      <c r="R44" s="5">
        <f>ROW(C44)</f>
        <v>44</v>
      </c>
    </row>
    <row r="45" spans="1:18" ht="19.5" customHeight="1">
      <c r="A45" s="3"/>
      <c r="B45" s="200"/>
      <c r="C45" s="59" t="s">
        <v>19</v>
      </c>
      <c r="D45" s="37">
        <f>VESTALLE!D6</f>
        <v>454.47300000000001</v>
      </c>
      <c r="E45" s="37">
        <f>VESTALLE!E6</f>
        <v>510.22300000000001</v>
      </c>
      <c r="F45" s="37">
        <f>VESTALLE!F6</f>
        <v>555.51800000000003</v>
      </c>
      <c r="G45" s="37">
        <f>VESTALLE!G6</f>
        <v>333.17500000000001</v>
      </c>
      <c r="H45" s="37">
        <f>VESTALLE!H6</f>
        <v>619.85500000000002</v>
      </c>
      <c r="I45" s="37">
        <f>VESTALLE!I6</f>
        <v>546.90700000000004</v>
      </c>
      <c r="J45" s="37">
        <f>VESTALLE!J6</f>
        <v>637.476</v>
      </c>
      <c r="K45" s="37">
        <f>VESTALLE!K6</f>
        <v>715.20100000000002</v>
      </c>
      <c r="L45" s="18">
        <f>VESTALLE!L6</f>
        <v>477.53399999999999</v>
      </c>
      <c r="M45" s="18">
        <f>VESTALLE!M6</f>
        <v>538.43700000000001</v>
      </c>
      <c r="N45" s="18">
        <f>VESTALLE!N6</f>
        <v>383.90100000000001</v>
      </c>
      <c r="O45" s="18">
        <f>VESTALLE!O6</f>
        <v>528.69899999999996</v>
      </c>
      <c r="P45" s="26">
        <f>SUM(D45:O45)</f>
        <v>6301.3989999999985</v>
      </c>
      <c r="R45" s="5">
        <f>ROW(C45)</f>
        <v>45</v>
      </c>
    </row>
    <row r="46" spans="1:18" ht="19.5" customHeight="1">
      <c r="A46" s="3"/>
      <c r="B46" s="200"/>
      <c r="C46" s="59" t="s">
        <v>60</v>
      </c>
      <c r="D46" s="37">
        <f>VESTALLE!D7</f>
        <v>28</v>
      </c>
      <c r="E46" s="37">
        <f>VESTALLE!E7</f>
        <v>32</v>
      </c>
      <c r="F46" s="37">
        <f>VESTALLE!F7</f>
        <v>28</v>
      </c>
      <c r="G46" s="37">
        <f>VESTALLE!G7</f>
        <v>23</v>
      </c>
      <c r="H46" s="37">
        <f>VESTALLE!H7</f>
        <v>25</v>
      </c>
      <c r="I46" s="37">
        <f>VESTALLE!I7</f>
        <v>34</v>
      </c>
      <c r="J46" s="37">
        <f>VESTALLE!J7</f>
        <v>29</v>
      </c>
      <c r="K46" s="37">
        <f>VESTALLE!K7</f>
        <v>31</v>
      </c>
      <c r="L46" s="18">
        <f>VESTALLE!L7</f>
        <v>25</v>
      </c>
      <c r="M46" s="18">
        <f>VESTALLE!M7</f>
        <v>55</v>
      </c>
      <c r="N46" s="18">
        <f>VESTALLE!N7</f>
        <v>41</v>
      </c>
      <c r="O46" s="18">
        <f>VESTALLE!O7</f>
        <v>41</v>
      </c>
      <c r="P46" s="26">
        <f>AVERAGE(D46:H46)</f>
        <v>27.2</v>
      </c>
    </row>
    <row r="47" spans="1:18" ht="19.5" customHeight="1">
      <c r="A47" s="3"/>
      <c r="B47" s="200"/>
      <c r="C47" s="59" t="s">
        <v>15</v>
      </c>
      <c r="D47" s="37"/>
      <c r="E47" s="37">
        <f>VESTALLE!E8</f>
        <v>18</v>
      </c>
      <c r="F47" s="37">
        <f>VESTALLE!F8</f>
        <v>11</v>
      </c>
      <c r="G47" s="37">
        <f>VESTALLE!G8</f>
        <v>14</v>
      </c>
      <c r="H47" s="37">
        <f>VESTALLE!H8</f>
        <v>9</v>
      </c>
      <c r="I47" s="37">
        <f>VESTALLE!I8</f>
        <v>30</v>
      </c>
      <c r="J47" s="37">
        <f>VESTALLE!J8</f>
        <v>14</v>
      </c>
      <c r="K47" s="37">
        <f>VESTALLE!K8</f>
        <v>15</v>
      </c>
      <c r="L47" s="18">
        <f>VESTALLE!L8</f>
        <v>11</v>
      </c>
      <c r="M47" s="18">
        <f>VESTALLE!M8</f>
        <v>54</v>
      </c>
      <c r="N47" s="18">
        <f>VESTALLE!N8</f>
        <v>20</v>
      </c>
      <c r="O47" s="18">
        <f>VESTALLE!O8</f>
        <v>20</v>
      </c>
      <c r="P47" s="26">
        <f>AVERAGE(D47:H47)</f>
        <v>13</v>
      </c>
    </row>
    <row r="48" spans="1:18" ht="19.5" customHeight="1">
      <c r="A48" s="3"/>
      <c r="B48" s="200"/>
      <c r="C48" s="60" t="s">
        <v>13</v>
      </c>
      <c r="D48" s="38">
        <f>VESTALLE!D9</f>
        <v>16.231178571428572</v>
      </c>
      <c r="E48" s="38">
        <f>VESTALLE!E9</f>
        <v>15.94446875</v>
      </c>
      <c r="F48" s="38">
        <f>VESTALLE!F9</f>
        <v>19.839928571428572</v>
      </c>
      <c r="G48" s="38">
        <f>VESTALLE!G9</f>
        <v>14.485869565217392</v>
      </c>
      <c r="H48" s="38">
        <f>VESTALLE!H9</f>
        <v>24.7942</v>
      </c>
      <c r="I48" s="38">
        <f>VESTALLE!I9</f>
        <v>16.0855</v>
      </c>
      <c r="J48" s="38">
        <f>VESTALLE!J9</f>
        <v>21.981931034482759</v>
      </c>
      <c r="K48" s="38">
        <f>VESTALLE!K9</f>
        <v>23.071000000000002</v>
      </c>
      <c r="L48" s="17">
        <f>VESTALLE!L9</f>
        <v>19.10136</v>
      </c>
      <c r="M48" s="17">
        <f>VESTALLE!M9</f>
        <v>9.7897636363636362</v>
      </c>
      <c r="N48" s="17">
        <f>VESTALLE!N9</f>
        <v>9.3634390243902441</v>
      </c>
      <c r="O48" s="17">
        <f>VESTALLE!O9</f>
        <v>12.895097560975609</v>
      </c>
      <c r="P48" s="26">
        <f>AVERAGE(D48:H48)</f>
        <v>18.259129091614906</v>
      </c>
      <c r="R48" s="5"/>
    </row>
    <row r="49" spans="1:18" s="2" customFormat="1" ht="19.5" customHeight="1">
      <c r="A49" s="11"/>
      <c r="B49" s="200"/>
      <c r="C49" s="60" t="s">
        <v>21</v>
      </c>
      <c r="D49" s="37">
        <f>VESTALLE!D10</f>
        <v>4193.491</v>
      </c>
      <c r="E49" s="37">
        <f>VESTALLE!E10</f>
        <v>5069.1099999999997</v>
      </c>
      <c r="F49" s="37">
        <f>VESTALLE!F10</f>
        <v>4764.0339999999997</v>
      </c>
      <c r="G49" s="37">
        <f>VESTALLE!G10</f>
        <v>3232.7159999999999</v>
      </c>
      <c r="H49" s="37">
        <f>VESTALLE!H10</f>
        <v>5784.4780000000001</v>
      </c>
      <c r="I49" s="37">
        <f>VESTALLE!I10</f>
        <v>5749.2650000000003</v>
      </c>
      <c r="J49" s="37">
        <f>VESTALLE!J10</f>
        <v>6739</v>
      </c>
      <c r="K49" s="37">
        <f>VESTALLE!K10</f>
        <v>7247.4660000000003</v>
      </c>
      <c r="L49" s="18">
        <f>VESTALLE!L10</f>
        <v>5378.3630000000003</v>
      </c>
      <c r="M49" s="18">
        <f>VESTALLE!M10</f>
        <v>6517.6180000000004</v>
      </c>
      <c r="N49" s="18">
        <f>VESTALLE!N10</f>
        <v>5812.91</v>
      </c>
      <c r="O49" s="18">
        <f>VESTALLE!O10</f>
        <v>7413.8220000000001</v>
      </c>
      <c r="P49" s="27">
        <f>SUM(D49:O49)</f>
        <v>67902.273000000001</v>
      </c>
      <c r="R49" s="5">
        <f>ROW(C49)</f>
        <v>49</v>
      </c>
    </row>
    <row r="50" spans="1:18" ht="19.5" customHeight="1">
      <c r="A50" s="3"/>
      <c r="B50" s="200"/>
      <c r="C50" s="60" t="s">
        <v>8</v>
      </c>
      <c r="D50" s="37">
        <f>VESTALLE!D11</f>
        <v>599.40852130325811</v>
      </c>
      <c r="E50" s="37">
        <f>VESTALLE!E11</f>
        <v>587.42334096109835</v>
      </c>
      <c r="F50" s="37">
        <f>VESTALLE!F11</f>
        <v>559.12550607287449</v>
      </c>
      <c r="G50" s="37">
        <f>VESTALLE!G11</f>
        <v>538.21052631578948</v>
      </c>
      <c r="H50" s="37">
        <f>VESTALLE!H11</f>
        <v>686.9136842105263</v>
      </c>
      <c r="I50" s="37">
        <f>VESTALLE!I11</f>
        <v>778.35240274599551</v>
      </c>
      <c r="J50" s="37">
        <f>VESTALLE!J11</f>
        <v>808.89068825910942</v>
      </c>
      <c r="K50" s="37">
        <f>VESTALLE!K11</f>
        <v>820.75303643724692</v>
      </c>
      <c r="L50" s="18">
        <f>VESTALLE!L11</f>
        <v>780.84473684210525</v>
      </c>
      <c r="M50" s="18">
        <f>VESTALLE!M11</f>
        <v>804</v>
      </c>
      <c r="N50" s="18">
        <f>VESTALLE!N11</f>
        <v>825</v>
      </c>
      <c r="O50" s="18">
        <f>VESTALLE!O11</f>
        <v>888</v>
      </c>
      <c r="P50" s="81">
        <f>AVERAGE(D50:O50)</f>
        <v>723.07687026233361</v>
      </c>
      <c r="R50" s="5">
        <f>ROW(C50)</f>
        <v>50</v>
      </c>
    </row>
    <row r="51" spans="1:18" ht="19.5" customHeight="1">
      <c r="A51" s="3"/>
      <c r="B51" s="200"/>
      <c r="C51" s="60" t="s">
        <v>7</v>
      </c>
      <c r="D51" s="19">
        <f>VESTALLE!D12</f>
        <v>0.41510285408812891</v>
      </c>
      <c r="E51" s="19">
        <f>VESTALLE!E12</f>
        <v>0.40680286770159163</v>
      </c>
      <c r="F51" s="19">
        <f>VESTALLE!F12</f>
        <v>0.38720602913633967</v>
      </c>
      <c r="G51" s="19">
        <f>VESTALLE!G12</f>
        <v>0.37272197113281819</v>
      </c>
      <c r="H51" s="19">
        <f>VESTALLE!H12</f>
        <v>0.47570199737571073</v>
      </c>
      <c r="I51" s="19">
        <f>VESTALLE!I12</f>
        <v>0.53902520965789158</v>
      </c>
      <c r="J51" s="19">
        <f>VESTALLE!J12</f>
        <v>0.56017360682763806</v>
      </c>
      <c r="K51" s="19">
        <f>VESTALLE!K12</f>
        <v>0.56838852938867512</v>
      </c>
      <c r="L51" s="19">
        <f>VESTALLE!L12</f>
        <v>0.54075120279924183</v>
      </c>
      <c r="M51" s="19">
        <f>VESTALLE!M12</f>
        <v>0.55678670360110805</v>
      </c>
      <c r="N51" s="19">
        <f>VESTALLE!N12</f>
        <v>0.57132963988919672</v>
      </c>
      <c r="O51" s="19">
        <f>VESTALLE!O12</f>
        <v>0.61495844875346262</v>
      </c>
      <c r="P51" s="19">
        <f>VESTALLE!P12</f>
        <v>0.52856496364205674</v>
      </c>
      <c r="Q51" s="2"/>
      <c r="R51" s="2"/>
    </row>
    <row r="52" spans="1:18" ht="19.5" customHeight="1">
      <c r="A52" s="3"/>
      <c r="B52" s="200"/>
      <c r="C52" s="60" t="s">
        <v>20</v>
      </c>
      <c r="D52" s="18">
        <f>VESTALLE!D13</f>
        <v>7174.92</v>
      </c>
      <c r="E52" s="18">
        <f>VESTALLE!E13</f>
        <v>7701.12</v>
      </c>
      <c r="F52" s="18">
        <f>VESTALLE!F13</f>
        <v>8286.24</v>
      </c>
      <c r="G52" s="18">
        <f>VESTALLE!G13</f>
        <v>6135.6</v>
      </c>
      <c r="H52" s="18">
        <f>VESTALLE!H13</f>
        <v>9788.52</v>
      </c>
      <c r="I52" s="18">
        <f>VESTALLE!I13</f>
        <v>10204.200000000001</v>
      </c>
      <c r="J52" s="18">
        <f>VESTALLE!J13</f>
        <v>11987.76</v>
      </c>
      <c r="K52" s="18">
        <f>VESTALLE!K13</f>
        <v>12163.56</v>
      </c>
      <c r="L52" s="18">
        <f>VESTALLE!L13</f>
        <v>8901.6299999999992</v>
      </c>
      <c r="M52" s="18">
        <f>VESTALLE!M13</f>
        <v>12112.95</v>
      </c>
      <c r="N52" s="18">
        <f>VESTALLE!N13</f>
        <v>9900.24</v>
      </c>
      <c r="O52" s="18">
        <f>VESTALLE!O13</f>
        <v>12922.2</v>
      </c>
      <c r="P52" s="27">
        <f>SUM(D52:O52)</f>
        <v>117278.94</v>
      </c>
      <c r="R52" s="5">
        <f>ROW(C52)</f>
        <v>52</v>
      </c>
    </row>
    <row r="53" spans="1:18" ht="19.5" customHeight="1">
      <c r="A53" s="3"/>
      <c r="B53" s="200"/>
      <c r="C53" s="60" t="s">
        <v>9</v>
      </c>
      <c r="D53" s="21">
        <f>VESTALLE!D14</f>
        <v>9.2271510078706545</v>
      </c>
      <c r="E53" s="21">
        <f>VESTALLE!E14</f>
        <v>9.9350872069663652</v>
      </c>
      <c r="F53" s="21">
        <f>VESTALLE!F14</f>
        <v>8.575840926846654</v>
      </c>
      <c r="G53" s="21">
        <f>VESTALLE!G14</f>
        <v>9.7027568094845051</v>
      </c>
      <c r="H53" s="21">
        <f>VESTALLE!H14</f>
        <v>9.3319857063345459</v>
      </c>
      <c r="I53" s="21">
        <f>VESTALLE!I14</f>
        <v>10.512326593003928</v>
      </c>
      <c r="J53" s="21">
        <f>VESTALLE!J14</f>
        <v>10.571378373460334</v>
      </c>
      <c r="K53" s="21">
        <f>VESTALLE!K14</f>
        <v>10.133467374905797</v>
      </c>
      <c r="L53" s="21">
        <f>VESTALLE!L14</f>
        <v>11.262785477055038</v>
      </c>
      <c r="M53" s="21">
        <f>VESTALLE!M14</f>
        <v>12.104699342727191</v>
      </c>
      <c r="N53" s="21">
        <f>VESTALLE!N14</f>
        <v>15.141690175331661</v>
      </c>
      <c r="O53" s="21">
        <f>VESTALLE!O14</f>
        <v>14.022765316370942</v>
      </c>
      <c r="P53" s="28">
        <f>P49/P45</f>
        <v>10.775745671715125</v>
      </c>
      <c r="R53" s="5">
        <f>ROW(C53)</f>
        <v>53</v>
      </c>
    </row>
    <row r="54" spans="1:18" ht="19.5" customHeight="1">
      <c r="A54" s="3"/>
      <c r="B54" s="200"/>
      <c r="C54" s="60" t="s">
        <v>22</v>
      </c>
      <c r="D54" s="37">
        <f>VESTALLE!D15</f>
        <v>1860.8150000000001</v>
      </c>
      <c r="E54" s="37">
        <f>VESTALLE!E15</f>
        <v>2187.3139999999999</v>
      </c>
      <c r="F54" s="37">
        <f>VESTALLE!F15</f>
        <v>1774.8420000000001</v>
      </c>
      <c r="G54" s="37">
        <f>VESTALLE!G15</f>
        <v>1559.45</v>
      </c>
      <c r="H54" s="37">
        <f>VESTALLE!H15</f>
        <v>2997.4780000000001</v>
      </c>
      <c r="I54" s="37">
        <f>VESTALLE!I15</f>
        <v>2659.4960000000001</v>
      </c>
      <c r="J54" s="37">
        <f>VESTALLE!J15</f>
        <v>3239.2849999999999</v>
      </c>
      <c r="K54" s="37">
        <f>VESTALLE!K15</f>
        <v>3847.1889999999999</v>
      </c>
      <c r="L54" s="18">
        <f>VESTALLE!L15</f>
        <v>2686.3780000000002</v>
      </c>
      <c r="M54" s="18">
        <f>VESTALLE!M15</f>
        <v>2870.0740000000001</v>
      </c>
      <c r="N54" s="18">
        <f>VESTALLE!N15</f>
        <v>2045.0809999999999</v>
      </c>
      <c r="O54" s="18">
        <f>VESTALLE!O15</f>
        <v>2597.2440000000001</v>
      </c>
      <c r="P54" s="27">
        <f>SUM(D54:O54)</f>
        <v>30324.645999999997</v>
      </c>
      <c r="R54" s="5">
        <f>ROW(C54)</f>
        <v>54</v>
      </c>
    </row>
    <row r="55" spans="1:18" ht="19.5" customHeight="1">
      <c r="A55" s="3"/>
      <c r="B55" s="200"/>
      <c r="C55" s="61" t="s">
        <v>10</v>
      </c>
      <c r="D55" s="22">
        <f>VESTALLE!D16</f>
        <v>4.0944456546373491</v>
      </c>
      <c r="E55" s="22">
        <f>VESTALLE!E16</f>
        <v>4.2869764789121616</v>
      </c>
      <c r="F55" s="22">
        <f>VESTALLE!F16</f>
        <v>3.1949315773746307</v>
      </c>
      <c r="G55" s="22">
        <f>VESTALLE!G16</f>
        <v>4.6805732723043443</v>
      </c>
      <c r="H55" s="22">
        <f>VESTALLE!H16</f>
        <v>4.8357728823676505</v>
      </c>
      <c r="I55" s="22">
        <f>VESTALLE!I16</f>
        <v>4.8627938570908764</v>
      </c>
      <c r="J55" s="22">
        <f>VESTALLE!J16</f>
        <v>5.0814226731673031</v>
      </c>
      <c r="K55" s="22">
        <f>VESTALLE!K16</f>
        <v>5.379171729346016</v>
      </c>
      <c r="L55" s="22">
        <f>VESTALLE!L16</f>
        <v>5.6255219523636022</v>
      </c>
      <c r="M55" s="22">
        <f>VESTALLE!M16</f>
        <v>5.330380341618425</v>
      </c>
      <c r="N55" s="22">
        <f>VESTALLE!N16</f>
        <v>5.3271051651337187</v>
      </c>
      <c r="O55" s="22">
        <f>VESTALLE!O16</f>
        <v>4.9125192217121656</v>
      </c>
      <c r="P55" s="29">
        <f t="shared" ref="P55" si="4">P54/P45</f>
        <v>4.8123672219454763</v>
      </c>
      <c r="R55" s="5">
        <f>ROW(C55)</f>
        <v>55</v>
      </c>
    </row>
    <row r="56" spans="1:18" ht="19.5" customHeight="1" thickBot="1">
      <c r="A56" s="3"/>
      <c r="B56" s="201"/>
      <c r="C56" s="62" t="s">
        <v>23</v>
      </c>
      <c r="D56" s="23">
        <f>VESTALLE!D17</f>
        <v>88.610238095238103</v>
      </c>
      <c r="E56" s="23">
        <f>VESTALLE!E17</f>
        <v>95.10060869565217</v>
      </c>
      <c r="F56" s="23">
        <f>VESTALLE!F17</f>
        <v>68.263153846153855</v>
      </c>
      <c r="G56" s="23">
        <f>VESTALLE!G17</f>
        <v>77.972499999999997</v>
      </c>
      <c r="H56" s="23">
        <f>VESTALLE!H17</f>
        <v>119.89912</v>
      </c>
      <c r="I56" s="23">
        <f>VESTALLE!I17</f>
        <v>115.63026086956522</v>
      </c>
      <c r="J56" s="23">
        <f>VESTALLE!J17</f>
        <v>124.58788461538461</v>
      </c>
      <c r="K56" s="23">
        <f>VESTALLE!K17</f>
        <v>147.96880769230768</v>
      </c>
      <c r="L56" s="23">
        <f>VESTALLE!L17</f>
        <v>134.31890000000001</v>
      </c>
      <c r="M56" s="23">
        <f>VESTALLE!M17</f>
        <v>106.29903703703704</v>
      </c>
      <c r="N56" s="23">
        <f>VESTALLE!N17</f>
        <v>97.384809523809523</v>
      </c>
      <c r="O56" s="23">
        <f>VESTALLE!O17</f>
        <v>99.894000000000005</v>
      </c>
      <c r="P56" s="30">
        <f>P54/P$4</f>
        <v>106.77692253521126</v>
      </c>
      <c r="R56" s="5">
        <f>ROW(C56)</f>
        <v>56</v>
      </c>
    </row>
    <row r="57" spans="1:18" ht="19.5" customHeight="1">
      <c r="A57" s="3"/>
      <c r="B57" s="199" t="s">
        <v>56</v>
      </c>
      <c r="C57" s="58" t="s">
        <v>0</v>
      </c>
      <c r="D57" s="16">
        <f>YTI!D5</f>
        <v>0.31612385017063444</v>
      </c>
      <c r="E57" s="16">
        <f>YTI!E5</f>
        <v>0.26441341027967036</v>
      </c>
      <c r="F57" s="16">
        <f>YTI!F5</f>
        <v>0.33106218299266876</v>
      </c>
      <c r="G57" s="16">
        <f>YTI!G5</f>
        <v>0.45052710945282975</v>
      </c>
      <c r="H57" s="16">
        <f>YTI!H5</f>
        <v>0.39940684280665173</v>
      </c>
      <c r="I57" s="16">
        <f>YTI!I5</f>
        <v>0.42913684318083123</v>
      </c>
      <c r="J57" s="16">
        <f>YTI!J5</f>
        <v>0.44915404248312196</v>
      </c>
      <c r="K57" s="16">
        <f>YTI!K5</f>
        <v>0.53844899728692341</v>
      </c>
      <c r="L57" s="16">
        <f>YTI!L5</f>
        <v>0.35760392129113677</v>
      </c>
      <c r="M57" s="16">
        <f>YTI!M5</f>
        <v>0.40232814496636032</v>
      </c>
      <c r="N57" s="16">
        <f>YTI!N5</f>
        <v>0.43149404529480678</v>
      </c>
      <c r="O57" s="16">
        <f>YTI!O5</f>
        <v>0.50798720871569891</v>
      </c>
      <c r="P57" s="25">
        <f>P62/P65</f>
        <v>0.41883348869499248</v>
      </c>
      <c r="R57" s="5">
        <f>ROW(C57)</f>
        <v>57</v>
      </c>
    </row>
    <row r="58" spans="1:18" ht="19.5" customHeight="1">
      <c r="A58" s="3"/>
      <c r="B58" s="200"/>
      <c r="C58" s="59" t="s">
        <v>19</v>
      </c>
      <c r="D58" s="37">
        <f>YTI!D6</f>
        <v>56.616999999999997</v>
      </c>
      <c r="E58" s="37">
        <f>YTI!E6</f>
        <v>71.683000000000007</v>
      </c>
      <c r="F58" s="37">
        <f>YTI!F6</f>
        <v>106.623</v>
      </c>
      <c r="G58" s="37">
        <f>YTI!G6</f>
        <v>112.99299999999999</v>
      </c>
      <c r="H58" s="37">
        <f>YTI!H6</f>
        <v>145.93</v>
      </c>
      <c r="I58" s="18">
        <f>YTI!I6</f>
        <v>205.85599999999999</v>
      </c>
      <c r="J58" s="18">
        <f>YTI!J6</f>
        <v>171.71299999999999</v>
      </c>
      <c r="K58" s="18">
        <f>YTI!K6</f>
        <v>217.53299999999999</v>
      </c>
      <c r="L58" s="18">
        <f>YTI!L6</f>
        <v>119.526</v>
      </c>
      <c r="M58" s="18">
        <f>YTI!M6</f>
        <v>266.12900000000002</v>
      </c>
      <c r="N58" s="18">
        <f>YTI!N6</f>
        <v>268.95299999999997</v>
      </c>
      <c r="O58" s="18">
        <f>YTI!O6</f>
        <v>339.255</v>
      </c>
      <c r="P58" s="26">
        <f>SUM(D58:O58)</f>
        <v>2082.8110000000001</v>
      </c>
      <c r="R58" s="5">
        <f>ROW(C58)</f>
        <v>58</v>
      </c>
    </row>
    <row r="59" spans="1:18" ht="19.5" customHeight="1">
      <c r="A59" s="3"/>
      <c r="B59" s="200"/>
      <c r="C59" s="59" t="s">
        <v>60</v>
      </c>
      <c r="D59" s="37">
        <f>YTI!D7</f>
        <v>0</v>
      </c>
      <c r="E59" s="37">
        <f>YTI!E7</f>
        <v>0</v>
      </c>
      <c r="F59" s="82">
        <f>YTI!F7</f>
        <v>5</v>
      </c>
      <c r="G59" s="37">
        <f>YTI!G7</f>
        <v>11</v>
      </c>
      <c r="H59" s="37">
        <f>YTI!H7</f>
        <v>24</v>
      </c>
      <c r="I59" s="18">
        <f>YTI!I7</f>
        <v>26</v>
      </c>
      <c r="J59" s="18">
        <f>YTI!J7</f>
        <v>37</v>
      </c>
      <c r="K59" s="18">
        <f>YTI!K7</f>
        <v>30</v>
      </c>
      <c r="L59" s="18">
        <f>YTI!L7</f>
        <v>24</v>
      </c>
      <c r="M59" s="18">
        <f>YTI!M7</f>
        <v>45</v>
      </c>
      <c r="N59" s="18">
        <f>YTI!N7</f>
        <v>67</v>
      </c>
      <c r="O59" s="18">
        <f>YTI!O7</f>
        <v>116</v>
      </c>
      <c r="P59" s="26">
        <f>AVERAGE(D59:H59)</f>
        <v>8</v>
      </c>
    </row>
    <row r="60" spans="1:18" ht="19.5" customHeight="1">
      <c r="A60" s="3"/>
      <c r="B60" s="200"/>
      <c r="C60" s="59" t="s">
        <v>15</v>
      </c>
      <c r="D60" s="37">
        <f>YTI!D8</f>
        <v>0</v>
      </c>
      <c r="E60" s="37">
        <f>YTI!E8</f>
        <v>0</v>
      </c>
      <c r="F60" s="82">
        <f>YTI!F8</f>
        <v>3</v>
      </c>
      <c r="G60" s="37">
        <f>YTI!G8</f>
        <v>6</v>
      </c>
      <c r="H60" s="37">
        <f>YTI!H8</f>
        <v>14</v>
      </c>
      <c r="I60" s="18">
        <f>YTI!I8</f>
        <v>12</v>
      </c>
      <c r="J60" s="18">
        <f>YTI!J8</f>
        <v>19</v>
      </c>
      <c r="K60" s="18">
        <f>YTI!K8</f>
        <v>16</v>
      </c>
      <c r="L60" s="18">
        <f>YTI!L8</f>
        <v>13</v>
      </c>
      <c r="M60" s="18">
        <f>YTI!M8</f>
        <v>30</v>
      </c>
      <c r="N60" s="18">
        <f>YTI!N8</f>
        <v>29</v>
      </c>
      <c r="O60" s="18">
        <f>YTI!O8</f>
        <v>57</v>
      </c>
      <c r="P60" s="26">
        <f>AVERAGE(D60:H60)</f>
        <v>4.5999999999999996</v>
      </c>
    </row>
    <row r="61" spans="1:18" ht="19.5" customHeight="1">
      <c r="A61" s="3"/>
      <c r="B61" s="200"/>
      <c r="C61" s="60" t="s">
        <v>13</v>
      </c>
      <c r="D61" s="38">
        <f>YTI!D9</f>
        <v>0</v>
      </c>
      <c r="E61" s="38">
        <f>YTI!E9</f>
        <v>0</v>
      </c>
      <c r="F61" s="82">
        <f>YTI!F9</f>
        <v>21.3246</v>
      </c>
      <c r="G61" s="38">
        <f>YTI!G9</f>
        <v>10.272090909090908</v>
      </c>
      <c r="H61" s="38">
        <f>YTI!H9</f>
        <v>6.0804166666666672</v>
      </c>
      <c r="I61" s="17">
        <f>YTI!I9</f>
        <v>7.9175384615384612</v>
      </c>
      <c r="J61" s="17">
        <f>YTI!J9</f>
        <v>4.6408918918918918</v>
      </c>
      <c r="K61" s="17">
        <f>YTI!K9</f>
        <v>7.2510999999999992</v>
      </c>
      <c r="L61" s="17">
        <f>YTI!L9</f>
        <v>4.9802499999999998</v>
      </c>
      <c r="M61" s="17">
        <f>YTI!M9</f>
        <v>5.9139777777777782</v>
      </c>
      <c r="N61" s="17">
        <f>YTI!N9</f>
        <v>4.0142238805970143</v>
      </c>
      <c r="O61" s="17">
        <f>YTI!O9</f>
        <v>2.9246120689655171</v>
      </c>
      <c r="P61" s="26">
        <f>AVERAGE(D61:H61)</f>
        <v>7.5354215151515147</v>
      </c>
      <c r="R61" s="5"/>
    </row>
    <row r="62" spans="1:18" ht="19.5" customHeight="1">
      <c r="A62" s="3"/>
      <c r="B62" s="200"/>
      <c r="C62" s="60" t="s">
        <v>21</v>
      </c>
      <c r="D62" s="37">
        <f>YTI!D10</f>
        <v>768.84481600000004</v>
      </c>
      <c r="E62" s="37">
        <f>YTI!E10</f>
        <v>821.97139200000004</v>
      </c>
      <c r="F62" s="37">
        <f>YTI!F10</f>
        <v>1329.439787</v>
      </c>
      <c r="G62" s="37">
        <f>YTI!G10</f>
        <v>1438.1095649999997</v>
      </c>
      <c r="H62" s="37">
        <f>YTI!H10</f>
        <v>1792.2743020000007</v>
      </c>
      <c r="I62" s="18">
        <f>YTI!I10</f>
        <v>1679.942</v>
      </c>
      <c r="J62" s="18">
        <f>YTI!J10</f>
        <v>1963.953</v>
      </c>
      <c r="K62" s="18">
        <f>YTI!K10</f>
        <v>2584.0059689999994</v>
      </c>
      <c r="L62" s="18">
        <f>YTI!L10</f>
        <v>1212.8995240000002</v>
      </c>
      <c r="M62" s="18">
        <f>YTI!M10</f>
        <v>2613.2420000000002</v>
      </c>
      <c r="N62" s="18">
        <f>YTI!N10</f>
        <v>2652.1350000000002</v>
      </c>
      <c r="O62" s="18">
        <f>YTI!O10</f>
        <v>3181.8490000000002</v>
      </c>
      <c r="P62" s="27">
        <f>SUM(D62:O62)</f>
        <v>22038.666355000001</v>
      </c>
      <c r="R62" s="5">
        <f>ROW(C62)</f>
        <v>62</v>
      </c>
    </row>
    <row r="63" spans="1:18" ht="19.5" customHeight="1">
      <c r="A63" s="3"/>
      <c r="B63" s="200"/>
      <c r="C63" s="60" t="s">
        <v>8</v>
      </c>
      <c r="D63" s="37">
        <f>YTI!D11</f>
        <v>194.61904761904762</v>
      </c>
      <c r="E63" s="37">
        <f>YTI!E11</f>
        <v>229.56521739130434</v>
      </c>
      <c r="F63" s="37">
        <f>YTI!F11</f>
        <v>270.95999999999998</v>
      </c>
      <c r="G63" s="37">
        <f>YTI!G11</f>
        <v>289.57894736842104</v>
      </c>
      <c r="H63" s="37">
        <f>YTI!H11</f>
        <v>312.76</v>
      </c>
      <c r="I63" s="18">
        <f>YTI!I11</f>
        <v>301</v>
      </c>
      <c r="J63" s="18">
        <f>YTI!J11</f>
        <v>295</v>
      </c>
      <c r="K63" s="18">
        <f>YTI!K11</f>
        <v>314.38461538461536</v>
      </c>
      <c r="L63" s="18">
        <f>YTI!L11</f>
        <v>298</v>
      </c>
      <c r="M63" s="18">
        <f>YTI!M11</f>
        <v>404</v>
      </c>
      <c r="N63" s="18">
        <f>YTI!N11</f>
        <v>425</v>
      </c>
      <c r="O63" s="18">
        <f>YTI!O11</f>
        <v>443</v>
      </c>
      <c r="P63" s="81">
        <f>AVERAGE(D63:O63)</f>
        <v>314.82231898028238</v>
      </c>
      <c r="R63" s="5">
        <f>ROW(C63)</f>
        <v>63</v>
      </c>
    </row>
    <row r="64" spans="1:18" ht="19.5" customHeight="1">
      <c r="A64" s="3"/>
      <c r="B64" s="200"/>
      <c r="C64" s="60" t="s">
        <v>7</v>
      </c>
      <c r="D64" s="19">
        <f>YTI!D12</f>
        <v>0.3089191232048375</v>
      </c>
      <c r="E64" s="19">
        <f>YTI!E12</f>
        <v>0.36438923395445133</v>
      </c>
      <c r="F64" s="19">
        <f>YTI!F12</f>
        <v>0.43009523809523809</v>
      </c>
      <c r="G64" s="19">
        <f>YTI!G12</f>
        <v>0.45964912280701753</v>
      </c>
      <c r="H64" s="19">
        <f>YTI!H12</f>
        <v>0.49644444444444441</v>
      </c>
      <c r="I64" s="72">
        <f>YTI!I12</f>
        <v>0.4777777777777778</v>
      </c>
      <c r="J64" s="72">
        <f>YTI!J12</f>
        <v>0.46825396825396826</v>
      </c>
      <c r="K64" s="72">
        <f>YTI!K12</f>
        <v>0.49902319902319897</v>
      </c>
      <c r="L64" s="72">
        <f>YTI!L12</f>
        <v>0.473015873015873</v>
      </c>
      <c r="M64" s="72">
        <f>YTI!M12</f>
        <v>0.64126984126984132</v>
      </c>
      <c r="N64" s="72">
        <f>YTI!N12</f>
        <v>0.67460317460317465</v>
      </c>
      <c r="O64" s="72">
        <f>YTI!O12</f>
        <v>0.70317460317460323</v>
      </c>
      <c r="P64" s="72">
        <f>YTI!P12</f>
        <v>0.56622719241057984</v>
      </c>
    </row>
    <row r="65" spans="1:18" ht="19.5" customHeight="1">
      <c r="A65" s="3"/>
      <c r="B65" s="200"/>
      <c r="C65" s="60" t="s">
        <v>20</v>
      </c>
      <c r="D65" s="18">
        <f>YTI!D13</f>
        <v>2432.1</v>
      </c>
      <c r="E65" s="37">
        <f>YTI!E13</f>
        <v>3108.66</v>
      </c>
      <c r="F65" s="37">
        <f>YTI!F13</f>
        <v>4015.68</v>
      </c>
      <c r="G65" s="18">
        <f>YTI!G13</f>
        <v>3192.06</v>
      </c>
      <c r="H65" s="18">
        <f>YTI!H13</f>
        <v>4487.34</v>
      </c>
      <c r="I65" s="18">
        <f>YTI!I13</f>
        <v>3914.7</v>
      </c>
      <c r="J65" s="18">
        <f>YTI!J13</f>
        <v>4372.5600000000004</v>
      </c>
      <c r="K65" s="18">
        <f>YTI!K13</f>
        <v>4798.9799999999996</v>
      </c>
      <c r="L65" s="18">
        <f>YTI!L13</f>
        <v>3391.74</v>
      </c>
      <c r="M65" s="18">
        <f>YTI!M13</f>
        <v>6495.3</v>
      </c>
      <c r="N65" s="18">
        <f>YTI!N13</f>
        <v>6146.4</v>
      </c>
      <c r="O65" s="18">
        <f>YTI!O13</f>
        <v>6263.64</v>
      </c>
      <c r="P65" s="27">
        <f>SUM(D65:O65)</f>
        <v>52619.16</v>
      </c>
      <c r="R65" s="5">
        <f>ROW(C65)</f>
        <v>65</v>
      </c>
    </row>
    <row r="66" spans="1:18" ht="19.5" customHeight="1">
      <c r="A66" s="3"/>
      <c r="B66" s="200"/>
      <c r="C66" s="60" t="s">
        <v>9</v>
      </c>
      <c r="D66" s="21">
        <f>YTI!D14</f>
        <v>13.579751947294984</v>
      </c>
      <c r="E66" s="21">
        <f>YTI!E14</f>
        <v>11.46675490702119</v>
      </c>
      <c r="F66" s="21">
        <f>YTI!F14</f>
        <v>12.468602337206793</v>
      </c>
      <c r="G66" s="21">
        <f>YTI!G14</f>
        <v>12.727421742939827</v>
      </c>
      <c r="H66" s="21">
        <f>YTI!H14</f>
        <v>12.281739888987875</v>
      </c>
      <c r="I66" s="73">
        <f>YTI!I14</f>
        <v>8.1607628633607963</v>
      </c>
      <c r="J66" s="73">
        <f>YTI!J14</f>
        <v>11.437415920751487</v>
      </c>
      <c r="K66" s="73">
        <f>YTI!K14</f>
        <v>11.878684930562258</v>
      </c>
      <c r="L66" s="73">
        <f>YTI!L14</f>
        <v>10.147578970265885</v>
      </c>
      <c r="M66" s="73">
        <f>YTI!M14</f>
        <v>9.8194559781158759</v>
      </c>
      <c r="N66" s="73">
        <f>YTI!N14</f>
        <v>9.8609608370235708</v>
      </c>
      <c r="O66" s="73">
        <f>YTI!O14</f>
        <v>9.378930303164287</v>
      </c>
      <c r="P66" s="28">
        <f>P62/P58</f>
        <v>10.581212772066213</v>
      </c>
      <c r="R66" s="5">
        <f>ROW(C66)</f>
        <v>66</v>
      </c>
    </row>
    <row r="67" spans="1:18" ht="19.5" customHeight="1">
      <c r="A67" s="3"/>
      <c r="B67" s="200"/>
      <c r="C67" s="60" t="s">
        <v>22</v>
      </c>
      <c r="D67" s="37">
        <f>YTI!D15</f>
        <v>214.79656999999995</v>
      </c>
      <c r="E67" s="37">
        <f>YTI!E15</f>
        <v>298.56140000000005</v>
      </c>
      <c r="F67" s="37">
        <f>YTI!F15</f>
        <v>456.39381999999995</v>
      </c>
      <c r="G67" s="37">
        <f>YTI!G15</f>
        <v>480.02390999999994</v>
      </c>
      <c r="H67" s="37">
        <f>YTI!H15</f>
        <v>729.59544000000005</v>
      </c>
      <c r="I67" s="18">
        <f>YTI!I15</f>
        <v>995.125</v>
      </c>
      <c r="J67" s="18">
        <f>YTI!J15</f>
        <v>967.17700000000002</v>
      </c>
      <c r="K67" s="18">
        <f>YTI!K15</f>
        <v>1218.8388799999998</v>
      </c>
      <c r="L67" s="18">
        <f>YTI!L15</f>
        <v>602.92094999999995</v>
      </c>
      <c r="M67" s="18">
        <f>YTI!M15</f>
        <v>1359.90587</v>
      </c>
      <c r="N67" s="18">
        <f>YTI!N15</f>
        <v>1408.70776</v>
      </c>
      <c r="O67" s="18">
        <f>YTI!O15</f>
        <v>1884.4051300000001</v>
      </c>
      <c r="P67" s="27">
        <f>SUM(D67:O67)</f>
        <v>10616.451730000001</v>
      </c>
      <c r="R67" s="5">
        <f>ROW(C67)</f>
        <v>67</v>
      </c>
    </row>
    <row r="68" spans="1:18" ht="19.5" customHeight="1">
      <c r="A68" s="3"/>
      <c r="B68" s="200"/>
      <c r="C68" s="61" t="s">
        <v>10</v>
      </c>
      <c r="D68" s="22">
        <f>YTI!D16</f>
        <v>3.7938529063708772</v>
      </c>
      <c r="E68" s="22">
        <f>YTI!E16</f>
        <v>4.1650237852768441</v>
      </c>
      <c r="F68" s="22">
        <f>YTI!F16</f>
        <v>4.2804443694137282</v>
      </c>
      <c r="G68" s="22">
        <f>YTI!G16</f>
        <v>4.2482623702353237</v>
      </c>
      <c r="H68" s="22">
        <f>YTI!H16</f>
        <v>4.9996261221133418</v>
      </c>
      <c r="I68" s="22">
        <f>YTI!I16</f>
        <v>4.8340830483444739</v>
      </c>
      <c r="J68" s="22">
        <f>YTI!J16</f>
        <v>5.6325205429990746</v>
      </c>
      <c r="K68" s="22">
        <f>YTI!K16</f>
        <v>5.6030068081624389</v>
      </c>
      <c r="L68" s="22">
        <f>YTI!L16</f>
        <v>5.0442661010993417</v>
      </c>
      <c r="M68" s="22">
        <f>YTI!M16</f>
        <v>5.1099499490848421</v>
      </c>
      <c r="N68" s="22">
        <f>YTI!N16</f>
        <v>5.2377469669421801</v>
      </c>
      <c r="O68" s="22">
        <f>YTI!O16</f>
        <v>5.5545390045835736</v>
      </c>
      <c r="P68" s="29">
        <f t="shared" ref="P68" si="5">P67/P58</f>
        <v>5.0971747940643679</v>
      </c>
      <c r="R68" s="5">
        <f>ROW(C68)</f>
        <v>68</v>
      </c>
    </row>
    <row r="69" spans="1:18" ht="19.5" customHeight="1" thickBot="1">
      <c r="A69" s="3"/>
      <c r="B69" s="201"/>
      <c r="C69" s="62" t="s">
        <v>23</v>
      </c>
      <c r="D69" s="23">
        <f>YTI!D17</f>
        <v>10.228408095238093</v>
      </c>
      <c r="E69" s="23">
        <f>YTI!E17</f>
        <v>12.980930434782611</v>
      </c>
      <c r="F69" s="23">
        <f>YTI!F17</f>
        <v>17.55360846153846</v>
      </c>
      <c r="G69" s="23">
        <f>YTI!G17</f>
        <v>24.001195499999998</v>
      </c>
      <c r="H69" s="23">
        <f>YTI!H17</f>
        <v>29.183817600000001</v>
      </c>
      <c r="I69" s="23">
        <f>YTI!I17</f>
        <v>43.266304347826086</v>
      </c>
      <c r="J69" s="75">
        <f>YTI!J17</f>
        <v>37.199115384615382</v>
      </c>
      <c r="K69" s="75">
        <f>YTI!K17</f>
        <v>46.878418461538452</v>
      </c>
      <c r="L69" s="75">
        <f>YTI!L17</f>
        <v>30.146047499999998</v>
      </c>
      <c r="M69" s="75">
        <f>YTI!M17</f>
        <v>50.366884074074079</v>
      </c>
      <c r="N69" s="75">
        <f>YTI!N17</f>
        <v>67.081321904761907</v>
      </c>
      <c r="O69" s="75">
        <f>YTI!O17</f>
        <v>69.792782592592602</v>
      </c>
      <c r="P69" s="30">
        <f>P67/P$4</f>
        <v>37.381872288732396</v>
      </c>
      <c r="R69" s="5">
        <f>ROW(C69)</f>
        <v>69</v>
      </c>
    </row>
    <row r="70" spans="1:18" s="8" customFormat="1" ht="19.5" customHeight="1">
      <c r="A70" s="7"/>
      <c r="B70" s="208" t="s">
        <v>5</v>
      </c>
      <c r="C70" s="58" t="s">
        <v>0</v>
      </c>
      <c r="D70" s="149">
        <f t="shared" ref="D70:H70" si="6">D75/D78</f>
        <v>0.49350570133427685</v>
      </c>
      <c r="E70" s="16">
        <f t="shared" si="6"/>
        <v>0.49888057743394404</v>
      </c>
      <c r="F70" s="16">
        <f t="shared" si="6"/>
        <v>0.46657577693858038</v>
      </c>
      <c r="G70" s="16">
        <f t="shared" si="6"/>
        <v>0.43842127584904594</v>
      </c>
      <c r="H70" s="16">
        <f t="shared" si="6"/>
        <v>0.45537622991636895</v>
      </c>
      <c r="I70" s="16">
        <f>I75/I78</f>
        <v>0.46228599313896146</v>
      </c>
      <c r="J70" s="16">
        <f>J75/J78</f>
        <v>0.43460769802747268</v>
      </c>
      <c r="K70" s="16">
        <f t="shared" ref="K70:L70" si="7">K75/K78</f>
        <v>0.49206407846905292</v>
      </c>
      <c r="L70" s="16">
        <f t="shared" si="7"/>
        <v>0.45933912296960122</v>
      </c>
      <c r="M70" s="16">
        <f t="shared" ref="M70:O70" si="8">M75/M78</f>
        <v>0.46645760906227984</v>
      </c>
      <c r="N70" s="16">
        <f t="shared" si="8"/>
        <v>0.44668586960699691</v>
      </c>
      <c r="O70" s="16">
        <f t="shared" si="8"/>
        <v>0.47765723988811082</v>
      </c>
      <c r="P70" s="25">
        <f>P75/P78</f>
        <v>0.46601950054339736</v>
      </c>
    </row>
    <row r="71" spans="1:18" ht="19.5" customHeight="1">
      <c r="A71" s="3"/>
      <c r="B71" s="209"/>
      <c r="C71" s="59" t="s">
        <v>24</v>
      </c>
      <c r="D71" s="150">
        <f t="shared" ref="D71:H71" si="9">D45+D19+D6+D58</f>
        <v>1814.6380000000001</v>
      </c>
      <c r="E71" s="18">
        <f t="shared" si="9"/>
        <v>2312.134</v>
      </c>
      <c r="F71" s="18">
        <f t="shared" si="9"/>
        <v>2383.375</v>
      </c>
      <c r="G71" s="18">
        <f t="shared" si="9"/>
        <v>1387.0419999999999</v>
      </c>
      <c r="H71" s="18">
        <f t="shared" si="9"/>
        <v>1806.279</v>
      </c>
      <c r="I71" s="18">
        <f>I45+I19+I6+I58</f>
        <v>1963.4290000000001</v>
      </c>
      <c r="J71" s="18">
        <f>J45+J19+J6+J58</f>
        <v>1848.3839999999998</v>
      </c>
      <c r="K71" s="18">
        <f t="shared" ref="K71:L71" si="10">K45+K19+K6+K58</f>
        <v>2047.7779999999998</v>
      </c>
      <c r="L71" s="18">
        <f t="shared" si="10"/>
        <v>1759.7099999999998</v>
      </c>
      <c r="M71" s="18">
        <f t="shared" ref="M71:O71" si="11">M45+M19+M6+M58</f>
        <v>2150.3629999999998</v>
      </c>
      <c r="N71" s="18">
        <f t="shared" si="11"/>
        <v>1673.904</v>
      </c>
      <c r="O71" s="18">
        <f t="shared" si="11"/>
        <v>1955.5230000000001</v>
      </c>
      <c r="P71" s="26">
        <f>SUM(D71:O71)</f>
        <v>23102.559000000001</v>
      </c>
    </row>
    <row r="72" spans="1:18" ht="19.5" customHeight="1">
      <c r="A72" s="3"/>
      <c r="B72" s="209"/>
      <c r="C72" s="59" t="s">
        <v>60</v>
      </c>
      <c r="D72" s="150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26" t="e">
        <f>AVERAGE(D72:H72)</f>
        <v>#DIV/0!</v>
      </c>
    </row>
    <row r="73" spans="1:18" ht="19.5" customHeight="1">
      <c r="A73" s="3"/>
      <c r="B73" s="209"/>
      <c r="C73" s="59" t="s">
        <v>15</v>
      </c>
      <c r="D73" s="150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26" t="e">
        <f>AVERAGE(D73:H73)</f>
        <v>#DIV/0!</v>
      </c>
    </row>
    <row r="74" spans="1:18" ht="19.5" customHeight="1">
      <c r="A74" s="3"/>
      <c r="B74" s="209"/>
      <c r="C74" s="60" t="s">
        <v>13</v>
      </c>
      <c r="D74" s="151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26" t="e">
        <f>AVERAGE(D74:H74)</f>
        <v>#DIV/0!</v>
      </c>
    </row>
    <row r="75" spans="1:18" s="2" customFormat="1" ht="19.5" customHeight="1">
      <c r="A75" s="11"/>
      <c r="B75" s="209"/>
      <c r="C75" s="60" t="s">
        <v>21</v>
      </c>
      <c r="D75" s="150">
        <f t="shared" ref="D75:H76" si="12">D49+D23+D10+D62</f>
        <v>15734.906171000001</v>
      </c>
      <c r="E75" s="18">
        <f t="shared" si="12"/>
        <v>17964.519973999999</v>
      </c>
      <c r="F75" s="18">
        <f t="shared" si="12"/>
        <v>18955.163503</v>
      </c>
      <c r="G75" s="18">
        <f t="shared" si="12"/>
        <v>13489.372120599997</v>
      </c>
      <c r="H75" s="18">
        <f t="shared" si="12"/>
        <v>18856.264466000001</v>
      </c>
      <c r="I75" s="18">
        <f>I49+I23+I10+I62</f>
        <v>19041.143999999997</v>
      </c>
      <c r="J75" s="18">
        <f>J49+J23+J10+J62</f>
        <v>19802.413</v>
      </c>
      <c r="K75" s="18">
        <f t="shared" ref="K75:L75" si="13">K49+K23+K10+K62</f>
        <v>22829.991968999999</v>
      </c>
      <c r="L75" s="18">
        <f t="shared" si="13"/>
        <v>15955.222524000003</v>
      </c>
      <c r="M75" s="18">
        <f t="shared" ref="M75:O75" si="14">M49+M23+M10+M62</f>
        <v>20951.340000000004</v>
      </c>
      <c r="N75" s="18">
        <f t="shared" si="14"/>
        <v>17199.425000000003</v>
      </c>
      <c r="O75" s="18">
        <f t="shared" si="14"/>
        <v>22205.731</v>
      </c>
      <c r="P75" s="27">
        <f>SUM(D75:O75)</f>
        <v>222985.4937276</v>
      </c>
    </row>
    <row r="76" spans="1:18" ht="19.5" customHeight="1">
      <c r="A76" s="3"/>
      <c r="B76" s="209"/>
      <c r="C76" s="60" t="s">
        <v>8</v>
      </c>
      <c r="D76" s="150">
        <f t="shared" si="12"/>
        <v>2507.458210744252</v>
      </c>
      <c r="E76" s="18">
        <f t="shared" si="12"/>
        <v>2665.1189931350114</v>
      </c>
      <c r="F76" s="18">
        <f t="shared" si="12"/>
        <v>2730.1255060728745</v>
      </c>
      <c r="G76" s="18">
        <f t="shared" si="12"/>
        <v>2716.7710526315786</v>
      </c>
      <c r="H76" s="18">
        <f t="shared" si="12"/>
        <v>2843.6336842105266</v>
      </c>
      <c r="I76" s="18">
        <f>I50+I24+I11+I63</f>
        <v>2977.3524027459953</v>
      </c>
      <c r="J76" s="18">
        <f>J50+J24+J11+J63</f>
        <v>2987.8906882591095</v>
      </c>
      <c r="K76" s="18">
        <f t="shared" ref="K76:L76" si="15">K50+K24+K11+K63</f>
        <v>3034.1376518218622</v>
      </c>
      <c r="L76" s="18">
        <f t="shared" si="15"/>
        <v>2978.8447368421052</v>
      </c>
      <c r="M76" s="18">
        <f t="shared" ref="M76:O76" si="16">M50+M24+M11+M63</f>
        <v>3084</v>
      </c>
      <c r="N76" s="18">
        <f t="shared" si="16"/>
        <v>3066</v>
      </c>
      <c r="O76" s="18">
        <f t="shared" si="16"/>
        <v>3105</v>
      </c>
      <c r="P76" s="81">
        <f>AVERAGE(D76:O76)</f>
        <v>2891.3610772052762</v>
      </c>
    </row>
    <row r="77" spans="1:18" ht="19.5" customHeight="1">
      <c r="A77" s="3"/>
      <c r="B77" s="209"/>
      <c r="C77" s="60" t="s">
        <v>7</v>
      </c>
      <c r="D77" s="152">
        <f>D76/5654</f>
        <v>0.44348394247333783</v>
      </c>
      <c r="E77" s="152">
        <f t="shared" ref="E77:L77" si="17">E76/5654</f>
        <v>0.47136876426158675</v>
      </c>
      <c r="F77" s="152">
        <f t="shared" si="17"/>
        <v>0.48286620199378749</v>
      </c>
      <c r="G77" s="152">
        <f t="shared" si="17"/>
        <v>0.4805042540911883</v>
      </c>
      <c r="H77" s="152">
        <f t="shared" si="17"/>
        <v>0.5029419321207157</v>
      </c>
      <c r="I77" s="152">
        <f t="shared" si="17"/>
        <v>0.52659221838450576</v>
      </c>
      <c r="J77" s="152">
        <f t="shared" si="17"/>
        <v>0.52845608211162176</v>
      </c>
      <c r="K77" s="152">
        <f t="shared" si="17"/>
        <v>0.53663559459176902</v>
      </c>
      <c r="L77" s="152">
        <f t="shared" si="17"/>
        <v>0.52685616145067304</v>
      </c>
      <c r="M77" s="152">
        <f t="shared" ref="M77:P77" si="18">M76/5654</f>
        <v>0.54545454545454541</v>
      </c>
      <c r="N77" s="152">
        <f t="shared" si="18"/>
        <v>0.54227095861337105</v>
      </c>
      <c r="O77" s="152">
        <f t="shared" si="18"/>
        <v>0.54916873010258227</v>
      </c>
      <c r="P77" s="152">
        <f t="shared" si="18"/>
        <v>0.51138328213747364</v>
      </c>
    </row>
    <row r="78" spans="1:18" ht="19.5" customHeight="1">
      <c r="A78" s="3"/>
      <c r="B78" s="209"/>
      <c r="C78" s="60" t="s">
        <v>20</v>
      </c>
      <c r="D78" s="150">
        <f t="shared" ref="D78:H78" si="19">D52+D26+D13+D65</f>
        <v>31883.939999999995</v>
      </c>
      <c r="E78" s="18">
        <f t="shared" si="19"/>
        <v>36009.660000000003</v>
      </c>
      <c r="F78" s="18">
        <f t="shared" si="19"/>
        <v>40626.120000000003</v>
      </c>
      <c r="G78" s="18">
        <f t="shared" si="19"/>
        <v>30768.06</v>
      </c>
      <c r="H78" s="18">
        <f t="shared" si="19"/>
        <v>41408.100000000006</v>
      </c>
      <c r="I78" s="18">
        <f>I52+I26+I13+I65</f>
        <v>41189.1</v>
      </c>
      <c r="J78" s="18">
        <f>J52+J26+J13+J65</f>
        <v>45563.88</v>
      </c>
      <c r="K78" s="18">
        <f t="shared" ref="K78:L78" si="20">K52+K26+K13+K65</f>
        <v>46396.380000000005</v>
      </c>
      <c r="L78" s="18">
        <f t="shared" si="20"/>
        <v>34735.17</v>
      </c>
      <c r="M78" s="18">
        <f t="shared" ref="M78:O78" si="21">M52+M26+M13+M65</f>
        <v>44915.850000000006</v>
      </c>
      <c r="N78" s="18">
        <f t="shared" si="21"/>
        <v>38504.519999999997</v>
      </c>
      <c r="O78" s="18">
        <f t="shared" si="21"/>
        <v>46488.84</v>
      </c>
      <c r="P78" s="27">
        <f>SUM(D78:O78)</f>
        <v>478489.62</v>
      </c>
    </row>
    <row r="79" spans="1:18" ht="19.5" customHeight="1">
      <c r="A79" s="3"/>
      <c r="B79" s="209"/>
      <c r="C79" s="60" t="s">
        <v>9</v>
      </c>
      <c r="D79" s="153">
        <f t="shared" ref="D79:H79" si="22">D75/D71</f>
        <v>8.6710992335661441</v>
      </c>
      <c r="E79" s="73">
        <f t="shared" si="22"/>
        <v>7.76967077773174</v>
      </c>
      <c r="F79" s="73">
        <f t="shared" si="22"/>
        <v>7.9530764160067129</v>
      </c>
      <c r="G79" s="73">
        <f t="shared" si="22"/>
        <v>9.7252802154512974</v>
      </c>
      <c r="H79" s="73">
        <f t="shared" si="22"/>
        <v>10.43928676909824</v>
      </c>
      <c r="I79" s="73">
        <f>I75/I71</f>
        <v>9.6979030054053368</v>
      </c>
      <c r="J79" s="73">
        <f>J75/J71</f>
        <v>10.713365296388631</v>
      </c>
      <c r="K79" s="73">
        <f t="shared" ref="K79:L79" si="23">K75/K71</f>
        <v>11.148665514035214</v>
      </c>
      <c r="L79" s="73">
        <f t="shared" si="23"/>
        <v>9.0669613311284269</v>
      </c>
      <c r="M79" s="73">
        <f t="shared" ref="M79:O79" si="24">M75/M71</f>
        <v>9.7431642936564682</v>
      </c>
      <c r="N79" s="73">
        <f t="shared" si="24"/>
        <v>10.275036680717653</v>
      </c>
      <c r="O79" s="73">
        <f t="shared" si="24"/>
        <v>11.355392393748373</v>
      </c>
      <c r="P79" s="28">
        <f>P75/P71</f>
        <v>9.6519824374260867</v>
      </c>
    </row>
    <row r="80" spans="1:18" ht="19.5" customHeight="1">
      <c r="A80" s="3"/>
      <c r="B80" s="209"/>
      <c r="C80" s="60" t="s">
        <v>22</v>
      </c>
      <c r="D80" s="150">
        <f t="shared" ref="D80:H80" si="25">D54+D28+D15+D67</f>
        <v>7276.059209</v>
      </c>
      <c r="E80" s="18">
        <f t="shared" si="25"/>
        <v>8445.7375650000013</v>
      </c>
      <c r="F80" s="18">
        <f t="shared" si="25"/>
        <v>8903.9941699999981</v>
      </c>
      <c r="G80" s="18">
        <f t="shared" si="25"/>
        <v>7219.6004149999999</v>
      </c>
      <c r="H80" s="18">
        <f t="shared" si="25"/>
        <v>9548.2068700000018</v>
      </c>
      <c r="I80" s="18">
        <f>I54+I28+I15+I67</f>
        <v>9424.6053790000005</v>
      </c>
      <c r="J80" s="18">
        <f>J54+J28+J15+J67</f>
        <v>10784.79617</v>
      </c>
      <c r="K80" s="18">
        <f t="shared" ref="K80:L80" si="26">K54+K28+K15+K67</f>
        <v>12914.244879999998</v>
      </c>
      <c r="L80" s="18">
        <f t="shared" si="26"/>
        <v>8048.5589499999996</v>
      </c>
      <c r="M80" s="18">
        <f t="shared" ref="M80:O80" si="27">M54+M28+M15+M67</f>
        <v>10509.71687</v>
      </c>
      <c r="N80" s="18">
        <f t="shared" si="27"/>
        <v>7880.3497600000001</v>
      </c>
      <c r="O80" s="18">
        <f t="shared" si="27"/>
        <v>9620.9711299999999</v>
      </c>
      <c r="P80" s="27">
        <f>SUM(D80:O80)</f>
        <v>110576.84136800002</v>
      </c>
    </row>
    <row r="81" spans="1:18" ht="19.5" customHeight="1">
      <c r="A81" s="3"/>
      <c r="B81" s="209"/>
      <c r="C81" s="61" t="s">
        <v>10</v>
      </c>
      <c r="D81" s="154">
        <f t="shared" ref="D81:H81" si="28">D80/D71</f>
        <v>4.0096477694173709</v>
      </c>
      <c r="E81" s="22">
        <f t="shared" si="28"/>
        <v>3.6527889668159377</v>
      </c>
      <c r="F81" s="22">
        <f t="shared" si="28"/>
        <v>3.7358762972675295</v>
      </c>
      <c r="G81" s="22">
        <f t="shared" si="28"/>
        <v>5.2050337444720496</v>
      </c>
      <c r="H81" s="22">
        <f t="shared" si="28"/>
        <v>5.2861196249305902</v>
      </c>
      <c r="I81" s="22">
        <f>I80/I71</f>
        <v>4.800074450871409</v>
      </c>
      <c r="J81" s="22">
        <f>J80/J71</f>
        <v>5.8347162548474785</v>
      </c>
      <c r="K81" s="22">
        <f t="shared" ref="K81:O81" si="29">K80/K71</f>
        <v>6.3064672440078953</v>
      </c>
      <c r="L81" s="22">
        <f t="shared" si="29"/>
        <v>4.5737984952065966</v>
      </c>
      <c r="M81" s="22">
        <f t="shared" si="29"/>
        <v>4.8874152271035172</v>
      </c>
      <c r="N81" s="22">
        <f t="shared" si="29"/>
        <v>4.7077668492338871</v>
      </c>
      <c r="O81" s="22">
        <f t="shared" si="29"/>
        <v>4.9198966874846262</v>
      </c>
      <c r="P81" s="29">
        <f t="shared" ref="P81" si="30">P80/P71</f>
        <v>4.7863460220142722</v>
      </c>
    </row>
    <row r="82" spans="1:18" ht="19.5" customHeight="1" thickBot="1">
      <c r="A82" s="3"/>
      <c r="B82" s="209"/>
      <c r="C82" s="63" t="s">
        <v>23</v>
      </c>
      <c r="D82" s="155">
        <f t="shared" ref="D82:H82" si="31">D80/D$4</f>
        <v>346.47900995238098</v>
      </c>
      <c r="E82" s="46">
        <f t="shared" si="31"/>
        <v>367.20598108695657</v>
      </c>
      <c r="F82" s="46">
        <f t="shared" si="31"/>
        <v>342.46131423076918</v>
      </c>
      <c r="G82" s="46">
        <f t="shared" si="31"/>
        <v>360.98002074999999</v>
      </c>
      <c r="H82" s="46">
        <f t="shared" si="31"/>
        <v>381.92827480000005</v>
      </c>
      <c r="I82" s="46">
        <f>I80/I$4</f>
        <v>409.76545126086961</v>
      </c>
      <c r="J82" s="46">
        <f>J80/J$4</f>
        <v>414.7998526923077</v>
      </c>
      <c r="K82" s="46">
        <f t="shared" ref="K82:O82" si="32">K80/K$4</f>
        <v>496.7017261538461</v>
      </c>
      <c r="L82" s="46">
        <f t="shared" si="32"/>
        <v>402.42794749999996</v>
      </c>
      <c r="M82" s="46">
        <f t="shared" si="32"/>
        <v>389.24877296296296</v>
      </c>
      <c r="N82" s="46">
        <f t="shared" si="32"/>
        <v>375.25475047619045</v>
      </c>
      <c r="O82" s="46">
        <f t="shared" si="32"/>
        <v>370.03735115384615</v>
      </c>
      <c r="P82" s="30">
        <f>P80/P$4</f>
        <v>389.3550752394367</v>
      </c>
    </row>
    <row r="83" spans="1:18" ht="19.5" customHeight="1" thickBot="1">
      <c r="A83" s="3"/>
      <c r="B83" s="202" t="s">
        <v>28</v>
      </c>
      <c r="C83" s="64" t="s">
        <v>27</v>
      </c>
      <c r="D83" s="39">
        <f>VESTALLE!D19</f>
        <v>443.06700000000001</v>
      </c>
      <c r="E83" s="39">
        <f>VESTALLE!E19</f>
        <v>320.28199999999998</v>
      </c>
      <c r="F83" s="39">
        <f>VESTALLE!F19</f>
        <v>493.44900000000001</v>
      </c>
      <c r="G83" s="39">
        <f>VESTALLE!G19</f>
        <v>325.39</v>
      </c>
      <c r="H83" s="39">
        <f>VESTALLE!H19</f>
        <v>314.34199999999998</v>
      </c>
      <c r="I83" s="39">
        <f>VESTALLE!I19</f>
        <v>469.8</v>
      </c>
      <c r="J83" s="39">
        <f>VESTALLE!J19</f>
        <v>563.10500000000002</v>
      </c>
      <c r="K83" s="39">
        <f>VESTALLE!K19</f>
        <v>915.74</v>
      </c>
      <c r="L83" s="39">
        <f>VESTALLE!L19</f>
        <v>882.13499999999999</v>
      </c>
      <c r="M83" s="39">
        <f>VESTALLE!M19</f>
        <v>736.36300000000006</v>
      </c>
      <c r="N83" s="39">
        <f>VESTALLE!N19</f>
        <v>160.78</v>
      </c>
      <c r="O83" s="158">
        <f>VESTALLE!O19</f>
        <v>527.95299999999997</v>
      </c>
      <c r="P83" s="32">
        <f>VESTALLE!P19</f>
        <v>6152.4060000000009</v>
      </c>
      <c r="R83" s="56">
        <f>P83/P$85</f>
        <v>0.32623845110169009</v>
      </c>
    </row>
    <row r="84" spans="1:18" ht="19.5" customHeight="1" thickBot="1">
      <c r="A84" s="3"/>
      <c r="B84" s="203"/>
      <c r="C84" s="65" t="s">
        <v>25</v>
      </c>
      <c r="D84" s="20">
        <f>VESTALLE!D20</f>
        <v>1649.0519999999999</v>
      </c>
      <c r="E84" s="20">
        <f>VESTALLE!E20</f>
        <v>664.21600000000001</v>
      </c>
      <c r="F84" s="20">
        <f>VESTALLE!F20</f>
        <v>1248.777</v>
      </c>
      <c r="G84" s="20">
        <f>VESTALLE!G20</f>
        <v>1074.8989999999999</v>
      </c>
      <c r="H84" s="20">
        <f>VESTALLE!H20</f>
        <v>974.06600000000003</v>
      </c>
      <c r="I84" s="20">
        <f>VESTALLE!I20</f>
        <v>788.05700000000002</v>
      </c>
      <c r="J84" s="20">
        <f>VESTALLE!J20</f>
        <v>1157.1869999999999</v>
      </c>
      <c r="K84" s="20">
        <f>VESTALLE!K20</f>
        <v>1529.289</v>
      </c>
      <c r="L84" s="20">
        <f>VESTALLE!L20</f>
        <v>1700.587</v>
      </c>
      <c r="M84" s="20">
        <f>VESTALLE!M20</f>
        <v>1056.375</v>
      </c>
      <c r="N84" s="20">
        <f>VESTALLE!N20</f>
        <v>195.88</v>
      </c>
      <c r="O84" s="24">
        <f>VESTALLE!O20</f>
        <v>668.56399999999996</v>
      </c>
      <c r="P84" s="31">
        <f>VESTALLE!P20</f>
        <v>12706.948999999999</v>
      </c>
      <c r="R84" s="57">
        <f>P84/P$85</f>
        <v>0.67380068220272993</v>
      </c>
    </row>
    <row r="85" spans="1:18" ht="19.5" customHeight="1" thickBot="1">
      <c r="A85" s="3"/>
      <c r="B85" s="204"/>
      <c r="C85" s="66" t="s">
        <v>26</v>
      </c>
      <c r="D85" s="46">
        <f>VESTALLE!D21</f>
        <v>2092.1189999999997</v>
      </c>
      <c r="E85" s="46">
        <f>VESTALLE!E21</f>
        <v>984.49800000000005</v>
      </c>
      <c r="F85" s="46">
        <f>VESTALLE!F21</f>
        <v>1742.2260000000001</v>
      </c>
      <c r="G85" s="46">
        <f>VESTALLE!G21</f>
        <v>1400.2889999999998</v>
      </c>
      <c r="H85" s="46">
        <f>VESTALLE!H21</f>
        <v>1288.4079999999999</v>
      </c>
      <c r="I85" s="46">
        <f>VESTALLE!I21</f>
        <v>1257.857</v>
      </c>
      <c r="J85" s="46">
        <f>VESTALLE!J21</f>
        <v>1720.2919999999999</v>
      </c>
      <c r="K85" s="46">
        <f>VESTALLE!K21</f>
        <v>2445.029</v>
      </c>
      <c r="L85" s="46">
        <f>VESTALLE!L21</f>
        <v>2582.7219999999998</v>
      </c>
      <c r="M85" s="46">
        <f>VESTALLE!M21</f>
        <v>1792</v>
      </c>
      <c r="N85" s="46">
        <f>VESTALLE!N21</f>
        <v>356.65999999999997</v>
      </c>
      <c r="O85" s="159">
        <f>VESTALLE!O21</f>
        <v>1196.5169999999998</v>
      </c>
      <c r="P85" s="97">
        <f>VESTALLE!P21</f>
        <v>18858.616999999998</v>
      </c>
      <c r="R85" s="55" t="s">
        <v>44</v>
      </c>
    </row>
    <row r="86" spans="1:18" ht="4.5" customHeight="1" thickBot="1">
      <c r="A86" s="3"/>
      <c r="B86" s="102"/>
      <c r="C86" s="103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104"/>
      <c r="P86" s="104"/>
      <c r="R86" s="55"/>
    </row>
    <row r="87" spans="1:18" ht="19.5" customHeight="1" thickBot="1">
      <c r="A87" s="3"/>
      <c r="B87" s="105"/>
      <c r="C87" s="109" t="s">
        <v>46</v>
      </c>
      <c r="D87" s="110">
        <f t="shared" ref="D87:Q87" si="33">D83/D85</f>
        <v>0.21177906228087412</v>
      </c>
      <c r="E87" s="110">
        <f t="shared" si="33"/>
        <v>0.32532519111262792</v>
      </c>
      <c r="F87" s="110">
        <f t="shared" si="33"/>
        <v>0.28322904146763966</v>
      </c>
      <c r="G87" s="110">
        <f t="shared" si="33"/>
        <v>0.23237346005003257</v>
      </c>
      <c r="H87" s="110">
        <f t="shared" si="33"/>
        <v>0.2439770631663262</v>
      </c>
      <c r="I87" s="110">
        <f t="shared" si="33"/>
        <v>0.37349237631940674</v>
      </c>
      <c r="J87" s="110">
        <f t="shared" si="33"/>
        <v>0.32733105775066096</v>
      </c>
      <c r="K87" s="110">
        <f t="shared" si="33"/>
        <v>0.37453134502699148</v>
      </c>
      <c r="L87" s="110">
        <f t="shared" si="33"/>
        <v>0.34155243963539245</v>
      </c>
      <c r="M87" s="110">
        <f t="shared" si="33"/>
        <v>0.41091685267857148</v>
      </c>
      <c r="N87" s="110">
        <f t="shared" si="33"/>
        <v>0.45079347277519211</v>
      </c>
      <c r="O87" s="110">
        <f t="shared" si="33"/>
        <v>0.44124153689416867</v>
      </c>
      <c r="P87" s="110">
        <f t="shared" si="33"/>
        <v>0.32623845110169009</v>
      </c>
      <c r="Q87" s="110" t="e">
        <f t="shared" si="33"/>
        <v>#DIV/0!</v>
      </c>
      <c r="R87" s="55"/>
    </row>
    <row r="88" spans="1:18" ht="4.5" customHeight="1" thickBot="1">
      <c r="A88" s="3"/>
      <c r="B88" s="105"/>
      <c r="C88" s="48"/>
      <c r="D88" s="106"/>
      <c r="E88" s="106"/>
      <c r="F88" s="106"/>
      <c r="G88" s="106"/>
      <c r="H88" s="106"/>
      <c r="I88" s="106"/>
      <c r="J88" s="106"/>
      <c r="K88" s="106"/>
      <c r="L88" s="106"/>
      <c r="M88" s="106"/>
      <c r="N88" s="106"/>
      <c r="O88" s="106"/>
      <c r="P88" s="106"/>
      <c r="R88" s="55"/>
    </row>
    <row r="89" spans="1:18" ht="19.5" customHeight="1" thickBot="1">
      <c r="A89" s="3"/>
      <c r="B89" s="205" t="s">
        <v>49</v>
      </c>
      <c r="C89" s="64" t="s">
        <v>29</v>
      </c>
      <c r="D89" s="84">
        <v>13989.483914</v>
      </c>
      <c r="E89" s="84">
        <v>11787.693634999996</v>
      </c>
      <c r="F89" s="84">
        <v>10502.347561</v>
      </c>
      <c r="G89" s="84">
        <v>11161.021465</v>
      </c>
      <c r="H89" s="84">
        <v>17050.731037000001</v>
      </c>
      <c r="I89" s="84"/>
      <c r="J89" s="95"/>
      <c r="K89" s="106"/>
      <c r="L89" s="106"/>
      <c r="M89" s="106"/>
      <c r="N89" s="106"/>
      <c r="O89" s="106"/>
      <c r="P89" s="32"/>
    </row>
    <row r="90" spans="1:18" ht="19.5" customHeight="1" thickBot="1">
      <c r="A90" s="3"/>
      <c r="B90" s="206"/>
      <c r="C90" s="67" t="s">
        <v>24</v>
      </c>
      <c r="D90" s="20">
        <f>'Bright Sky'!D46</f>
        <v>1337.3679999999999</v>
      </c>
      <c r="E90" s="20">
        <f>'Bright Sky'!E46</f>
        <v>1107.7729999999999</v>
      </c>
      <c r="F90" s="20">
        <f>'Bright Sky'!F46</f>
        <v>1199.338</v>
      </c>
      <c r="G90" s="20">
        <f>'Bright Sky'!G46</f>
        <v>1397.826</v>
      </c>
      <c r="H90" s="20">
        <f>'Bright Sky'!H46</f>
        <v>1747.153</v>
      </c>
      <c r="I90" s="20">
        <f>'Bright Sky'!I46</f>
        <v>1542.5429999999999</v>
      </c>
      <c r="J90" s="93">
        <f>'Bright Sky'!J46</f>
        <v>1266.0219999999999</v>
      </c>
      <c r="K90" s="20">
        <f>'Bright Sky'!K46</f>
        <v>1460.2950000000001</v>
      </c>
      <c r="L90" s="20">
        <f>'Bright Sky'!L46</f>
        <v>638.30600000000004</v>
      </c>
      <c r="M90" s="20">
        <f>'Bright Sky'!M46</f>
        <v>928.22199999999998</v>
      </c>
      <c r="N90" s="20">
        <f>'Bright Sky'!N46</f>
        <v>979.17399999999998</v>
      </c>
      <c r="O90" s="123">
        <f>'Bright Sky'!O46</f>
        <v>1611.8679999999999</v>
      </c>
      <c r="P90" s="31">
        <f>'Bright Sky'!P46</f>
        <v>15215.888000000001</v>
      </c>
      <c r="R90" s="56">
        <f>P90/P$92</f>
        <v>0.8868191626852473</v>
      </c>
    </row>
    <row r="91" spans="1:18" ht="19.5" customHeight="1" thickBot="1">
      <c r="A91" s="3"/>
      <c r="B91" s="206"/>
      <c r="C91" s="65" t="s">
        <v>25</v>
      </c>
      <c r="D91" s="20">
        <f>'Bright Sky'!D47</f>
        <v>168.501</v>
      </c>
      <c r="E91" s="20">
        <f>'Bright Sky'!E47</f>
        <v>28.527999999999999</v>
      </c>
      <c r="F91" s="20">
        <f>'Bright Sky'!F47</f>
        <v>0</v>
      </c>
      <c r="G91" s="20">
        <f>'Bright Sky'!G47</f>
        <v>213.346</v>
      </c>
      <c r="H91" s="20">
        <f>'Bright Sky'!H47</f>
        <v>5.5519999999999996</v>
      </c>
      <c r="I91" s="20">
        <f>'Bright Sky'!I47</f>
        <v>96.141999999999996</v>
      </c>
      <c r="J91" s="93">
        <f>'Bright Sky'!J47</f>
        <v>430.70800000000003</v>
      </c>
      <c r="K91" s="20">
        <f>'Bright Sky'!K47</f>
        <v>213.29400000000001</v>
      </c>
      <c r="L91" s="20">
        <f>'Bright Sky'!L47</f>
        <v>156.09700000000001</v>
      </c>
      <c r="M91" s="20">
        <f>'Bright Sky'!M47</f>
        <v>310.78399999999999</v>
      </c>
      <c r="N91" s="20">
        <f>'Bright Sky'!N47</f>
        <v>72.573999999999998</v>
      </c>
      <c r="O91" s="123">
        <f>'Bright Sky'!O47</f>
        <v>246.411</v>
      </c>
      <c r="P91" s="31">
        <f>'Bright Sky'!P47</f>
        <v>1941.9370000000004</v>
      </c>
      <c r="R91" s="57">
        <f>P91/P$92</f>
        <v>0.11318083731475292</v>
      </c>
    </row>
    <row r="92" spans="1:18" ht="19.5" customHeight="1">
      <c r="A92" s="3"/>
      <c r="B92" s="206"/>
      <c r="C92" s="53" t="s">
        <v>26</v>
      </c>
      <c r="D92" s="43">
        <f>'Bright Sky'!D48</f>
        <v>1505.8689999999999</v>
      </c>
      <c r="E92" s="43">
        <f>'Bright Sky'!E48</f>
        <v>1136.3009999999999</v>
      </c>
      <c r="F92" s="43">
        <f>'Bright Sky'!F48</f>
        <v>1199.338</v>
      </c>
      <c r="G92" s="43">
        <f>'Bright Sky'!G48</f>
        <v>1611.172</v>
      </c>
      <c r="H92" s="43">
        <f>'Bright Sky'!H48</f>
        <v>1752.7049999999999</v>
      </c>
      <c r="I92" s="43">
        <f>'Bright Sky'!I48</f>
        <v>1638.6849999999999</v>
      </c>
      <c r="J92" s="157">
        <f>'Bright Sky'!J48</f>
        <v>1696.73</v>
      </c>
      <c r="K92" s="43">
        <f>'Bright Sky'!K48</f>
        <v>1673.5890000000002</v>
      </c>
      <c r="L92" s="43">
        <f>'Bright Sky'!L48</f>
        <v>794.40300000000002</v>
      </c>
      <c r="M92" s="43">
        <f>'Bright Sky'!M48</f>
        <v>1239.0059999999999</v>
      </c>
      <c r="N92" s="43">
        <f>'Bright Sky'!N48</f>
        <v>1051.748</v>
      </c>
      <c r="O92" s="147">
        <f>'Bright Sky'!O48</f>
        <v>1858.279</v>
      </c>
      <c r="P92" s="98">
        <f>'Bright Sky'!P48</f>
        <v>17157.824999999997</v>
      </c>
      <c r="Q92" s="116"/>
      <c r="R92" s="117" t="s">
        <v>44</v>
      </c>
    </row>
    <row r="93" spans="1:18" ht="19.5" customHeight="1">
      <c r="A93" s="3"/>
      <c r="B93" s="206"/>
      <c r="C93" s="65" t="s">
        <v>1</v>
      </c>
      <c r="D93" s="20">
        <v>700.31200000000001</v>
      </c>
      <c r="E93" s="20">
        <v>216.595</v>
      </c>
      <c r="F93" s="20">
        <v>147.84299999999999</v>
      </c>
      <c r="G93" s="20">
        <v>596.48850000000004</v>
      </c>
      <c r="H93" s="20">
        <v>337.20600000000002</v>
      </c>
      <c r="I93" s="20"/>
      <c r="J93" s="93"/>
      <c r="K93" s="123"/>
      <c r="L93" s="123"/>
      <c r="M93" s="123"/>
      <c r="N93" s="123"/>
      <c r="O93" s="123"/>
      <c r="P93" s="31">
        <v>0</v>
      </c>
      <c r="Q93" s="116"/>
      <c r="R93" s="116"/>
    </row>
    <row r="94" spans="1:18" ht="19.5" customHeight="1" thickBot="1">
      <c r="A94" s="3"/>
      <c r="B94" s="207"/>
      <c r="C94" s="68" t="s">
        <v>10</v>
      </c>
      <c r="D94" s="45">
        <f t="shared" ref="D94:H94" si="34">D93/D91</f>
        <v>4.1561296372128353</v>
      </c>
      <c r="E94" s="45">
        <f t="shared" si="34"/>
        <v>7.5923653954010097</v>
      </c>
      <c r="F94" s="45" t="e">
        <f t="shared" si="34"/>
        <v>#DIV/0!</v>
      </c>
      <c r="G94" s="45">
        <f t="shared" si="34"/>
        <v>2.7958738387408251</v>
      </c>
      <c r="H94" s="45">
        <f t="shared" si="34"/>
        <v>60.735951008645543</v>
      </c>
      <c r="I94" s="45"/>
      <c r="J94" s="96"/>
      <c r="K94" s="148"/>
      <c r="L94" s="148"/>
      <c r="M94" s="148"/>
      <c r="N94" s="148"/>
      <c r="O94" s="148"/>
      <c r="P94" s="99"/>
      <c r="Q94" s="116"/>
      <c r="R94" s="116"/>
    </row>
    <row r="95" spans="1:18" ht="4.5" customHeight="1" thickBot="1">
      <c r="A95" s="107"/>
      <c r="B95" s="102"/>
      <c r="C95" s="48"/>
      <c r="D95" s="108"/>
      <c r="E95" s="108"/>
      <c r="F95" s="108"/>
      <c r="G95" s="108"/>
      <c r="H95" s="108"/>
      <c r="I95" s="108"/>
      <c r="J95" s="108"/>
      <c r="K95" s="108"/>
      <c r="L95" s="108"/>
      <c r="M95" s="108"/>
      <c r="N95" s="108"/>
      <c r="O95" s="108"/>
      <c r="P95" s="106"/>
      <c r="Q95" s="118"/>
      <c r="R95" s="118"/>
    </row>
    <row r="96" spans="1:18" ht="19.5" customHeight="1" thickBot="1">
      <c r="A96" s="107"/>
      <c r="B96" s="105"/>
      <c r="C96" s="109" t="s">
        <v>46</v>
      </c>
      <c r="D96" s="110">
        <f t="shared" ref="D96:P96" si="35">D90/D92</f>
        <v>0.88810381248302472</v>
      </c>
      <c r="E96" s="110">
        <f t="shared" si="35"/>
        <v>0.97489397615596574</v>
      </c>
      <c r="F96" s="110">
        <f t="shared" si="35"/>
        <v>1</v>
      </c>
      <c r="G96" s="110">
        <f t="shared" si="35"/>
        <v>0.86758334926376579</v>
      </c>
      <c r="H96" s="110">
        <f t="shared" si="35"/>
        <v>0.99683232489209539</v>
      </c>
      <c r="I96" s="110">
        <f t="shared" si="35"/>
        <v>0.94132978577334869</v>
      </c>
      <c r="J96" s="110">
        <f t="shared" si="35"/>
        <v>0.74615407283421631</v>
      </c>
      <c r="K96" s="110">
        <f t="shared" si="35"/>
        <v>0.87255293862471606</v>
      </c>
      <c r="L96" s="110">
        <f t="shared" si="35"/>
        <v>0.80350401496469681</v>
      </c>
      <c r="M96" s="110">
        <f t="shared" si="35"/>
        <v>0.7491666707021597</v>
      </c>
      <c r="N96" s="110">
        <f t="shared" si="35"/>
        <v>0.93099677869603736</v>
      </c>
      <c r="O96" s="110">
        <f t="shared" si="35"/>
        <v>0.86739827550114912</v>
      </c>
      <c r="P96" s="110">
        <f t="shared" si="35"/>
        <v>0.8868191626852473</v>
      </c>
      <c r="Q96" s="118"/>
      <c r="R96" s="118"/>
    </row>
    <row r="97" spans="1:18" ht="4.5" customHeight="1" thickBot="1">
      <c r="A97" s="107"/>
      <c r="B97" s="105"/>
      <c r="C97" s="48"/>
      <c r="D97" s="108"/>
      <c r="E97" s="108"/>
      <c r="F97" s="108"/>
      <c r="G97" s="108"/>
      <c r="H97" s="108"/>
      <c r="I97" s="108"/>
      <c r="J97" s="108"/>
      <c r="K97" s="108"/>
      <c r="L97" s="108"/>
      <c r="M97" s="108"/>
      <c r="N97" s="108"/>
      <c r="O97" s="108"/>
      <c r="P97" s="106"/>
      <c r="Q97" s="107"/>
      <c r="R97" s="118"/>
    </row>
    <row r="98" spans="1:18" ht="19.5" customHeight="1" thickBot="1">
      <c r="A98" s="3"/>
      <c r="B98" s="119" t="s">
        <v>42</v>
      </c>
      <c r="C98" s="111" t="s">
        <v>45</v>
      </c>
      <c r="D98" s="83">
        <f>YTI!D19</f>
        <v>40.366</v>
      </c>
      <c r="E98" s="83">
        <f>YTI!E19</f>
        <v>50.024000000000001</v>
      </c>
      <c r="F98" s="83">
        <f>YTI!F19</f>
        <v>63.405999999999999</v>
      </c>
      <c r="G98" s="83">
        <f>YTI!G19</f>
        <v>148.446</v>
      </c>
      <c r="H98" s="83">
        <f>YTI!H19</f>
        <v>86.174999999999997</v>
      </c>
      <c r="I98" s="83">
        <f>YTI!I19</f>
        <v>84.763999999999996</v>
      </c>
      <c r="J98" s="83">
        <f>YTI!J19</f>
        <v>72.861999999999995</v>
      </c>
      <c r="K98" s="83">
        <f>YTI!K19</f>
        <v>65.608999999999995</v>
      </c>
      <c r="L98" s="83">
        <f>YTI!L19</f>
        <v>44.963999999999999</v>
      </c>
      <c r="M98" s="104"/>
      <c r="N98" s="104"/>
      <c r="O98" s="104"/>
      <c r="P98" s="113"/>
    </row>
    <row r="99" spans="1:18" s="3" customFormat="1" ht="19.5" customHeight="1" thickBot="1">
      <c r="B99" s="102"/>
      <c r="C99" s="103"/>
      <c r="D99" s="104"/>
      <c r="E99" s="104"/>
      <c r="F99" s="104"/>
      <c r="G99" s="104"/>
      <c r="H99" s="104"/>
      <c r="I99" s="104"/>
      <c r="J99" s="104"/>
      <c r="K99" s="104"/>
      <c r="L99" s="104"/>
      <c r="M99" s="104"/>
      <c r="N99" s="104"/>
      <c r="O99" s="104"/>
      <c r="P99" s="104"/>
    </row>
    <row r="100" spans="1:18" ht="19.5" customHeight="1" thickBot="1">
      <c r="A100" s="3"/>
      <c r="B100" s="194" t="s">
        <v>43</v>
      </c>
      <c r="C100" s="114" t="s">
        <v>45</v>
      </c>
      <c r="D100" s="115">
        <f t="shared" ref="D100" si="36">(SUM(D83,D90,D98))</f>
        <v>1820.8009999999999</v>
      </c>
      <c r="E100" s="115">
        <f t="shared" ref="E100:P100" si="37">(SUM(E83,E90,E98))</f>
        <v>1478.0789999999997</v>
      </c>
      <c r="F100" s="115">
        <f t="shared" si="37"/>
        <v>1756.193</v>
      </c>
      <c r="G100" s="115">
        <f t="shared" si="37"/>
        <v>1871.6619999999998</v>
      </c>
      <c r="H100" s="115">
        <f t="shared" si="37"/>
        <v>2147.67</v>
      </c>
      <c r="I100" s="115">
        <f t="shared" si="37"/>
        <v>2097.107</v>
      </c>
      <c r="J100" s="115">
        <f t="shared" si="37"/>
        <v>1901.989</v>
      </c>
      <c r="K100" s="115">
        <f t="shared" si="37"/>
        <v>2441.6439999999998</v>
      </c>
      <c r="L100" s="115">
        <f t="shared" si="37"/>
        <v>1565.405</v>
      </c>
      <c r="M100" s="115">
        <f t="shared" si="37"/>
        <v>1664.585</v>
      </c>
      <c r="N100" s="115">
        <f t="shared" si="37"/>
        <v>1139.954</v>
      </c>
      <c r="O100" s="115">
        <f t="shared" si="37"/>
        <v>2139.8209999999999</v>
      </c>
      <c r="P100" s="115">
        <f t="shared" si="37"/>
        <v>21368.294000000002</v>
      </c>
      <c r="R100" s="56">
        <f>P100/P$102</f>
        <v>0.58265836457180487</v>
      </c>
    </row>
    <row r="101" spans="1:18" ht="19.5" customHeight="1" thickBot="1">
      <c r="A101"/>
      <c r="B101" s="195"/>
      <c r="C101" s="69" t="s">
        <v>25</v>
      </c>
      <c r="D101" s="44">
        <f t="shared" ref="D101" si="38">SUM(D84,D91)</f>
        <v>1817.5529999999999</v>
      </c>
      <c r="E101" s="44">
        <f t="shared" ref="E101:O101" si="39">SUM(E84,E91)</f>
        <v>692.74400000000003</v>
      </c>
      <c r="F101" s="44">
        <f t="shared" si="39"/>
        <v>1248.777</v>
      </c>
      <c r="G101" s="44">
        <f t="shared" si="39"/>
        <v>1288.2449999999999</v>
      </c>
      <c r="H101" s="44">
        <f t="shared" si="39"/>
        <v>979.61800000000005</v>
      </c>
      <c r="I101" s="44">
        <f t="shared" si="39"/>
        <v>884.19900000000007</v>
      </c>
      <c r="J101" s="44">
        <f t="shared" si="39"/>
        <v>1587.895</v>
      </c>
      <c r="K101" s="44">
        <f t="shared" si="39"/>
        <v>1742.5830000000001</v>
      </c>
      <c r="L101" s="44">
        <f t="shared" si="39"/>
        <v>1856.684</v>
      </c>
      <c r="M101" s="44">
        <f t="shared" si="39"/>
        <v>1367.1590000000001</v>
      </c>
      <c r="N101" s="44">
        <f t="shared" si="39"/>
        <v>268.45400000000001</v>
      </c>
      <c r="O101" s="44">
        <f t="shared" si="39"/>
        <v>914.97499999999991</v>
      </c>
      <c r="P101" s="42">
        <f t="shared" ref="P101:P102" si="40">(SUM(D101:O101))</f>
        <v>14648.886</v>
      </c>
      <c r="R101" s="57">
        <f>P101/P$102</f>
        <v>0.39943740757024443</v>
      </c>
    </row>
    <row r="102" spans="1:18" ht="19.5" customHeight="1" thickBot="1">
      <c r="B102" s="195"/>
      <c r="C102" s="70" t="s">
        <v>26</v>
      </c>
      <c r="D102" s="41">
        <f>SUM(D100:D101)</f>
        <v>3638.3539999999998</v>
      </c>
      <c r="E102" s="41">
        <f t="shared" ref="E102:O102" si="41">SUM(E100:E101)</f>
        <v>2170.8229999999999</v>
      </c>
      <c r="F102" s="41">
        <f t="shared" si="41"/>
        <v>3004.9700000000003</v>
      </c>
      <c r="G102" s="41">
        <f t="shared" si="41"/>
        <v>3159.9069999999997</v>
      </c>
      <c r="H102" s="41">
        <f t="shared" si="41"/>
        <v>3127.288</v>
      </c>
      <c r="I102" s="41">
        <f t="shared" si="41"/>
        <v>2981.306</v>
      </c>
      <c r="J102" s="41">
        <f t="shared" si="41"/>
        <v>3489.884</v>
      </c>
      <c r="K102" s="41">
        <f t="shared" si="41"/>
        <v>4184.2269999999999</v>
      </c>
      <c r="L102" s="41">
        <f t="shared" si="41"/>
        <v>3422.0889999999999</v>
      </c>
      <c r="M102" s="41">
        <f t="shared" si="41"/>
        <v>3031.7440000000001</v>
      </c>
      <c r="N102" s="41">
        <f t="shared" si="41"/>
        <v>1408.4079999999999</v>
      </c>
      <c r="O102" s="41">
        <f t="shared" si="41"/>
        <v>3054.7959999999998</v>
      </c>
      <c r="P102" s="100">
        <f t="shared" si="40"/>
        <v>36673.796000000002</v>
      </c>
      <c r="R102" s="55" t="s">
        <v>44</v>
      </c>
    </row>
    <row r="103" spans="1:18" ht="3.75" customHeight="1" thickBot="1">
      <c r="B103" s="120"/>
      <c r="C103" s="71"/>
      <c r="D103" s="71"/>
      <c r="E103" s="71"/>
      <c r="F103" s="71"/>
      <c r="G103" s="71"/>
      <c r="H103" s="71"/>
      <c r="I103" s="71"/>
      <c r="J103" s="71"/>
      <c r="K103" s="71"/>
      <c r="L103" s="71"/>
      <c r="M103" s="71"/>
      <c r="N103" s="71"/>
      <c r="O103" s="71"/>
      <c r="P103" s="71"/>
    </row>
    <row r="104" spans="1:18" ht="19.5" customHeight="1" thickBot="1">
      <c r="C104" s="109" t="s">
        <v>46</v>
      </c>
      <c r="D104" s="110">
        <f t="shared" ref="D104:J104" si="42">D100/D102</f>
        <v>0.50044635568721463</v>
      </c>
      <c r="E104" s="110">
        <f t="shared" si="42"/>
        <v>0.6808841623660703</v>
      </c>
      <c r="F104" s="110">
        <f t="shared" si="42"/>
        <v>0.58442946185818823</v>
      </c>
      <c r="G104" s="110">
        <f t="shared" si="42"/>
        <v>0.59231553333689879</v>
      </c>
      <c r="H104" s="110">
        <f t="shared" si="42"/>
        <v>0.68675158795736113</v>
      </c>
      <c r="I104" s="110">
        <f t="shared" si="42"/>
        <v>0.70341890433253074</v>
      </c>
      <c r="J104" s="110">
        <f t="shared" si="42"/>
        <v>0.54500063612429528</v>
      </c>
      <c r="K104" s="110">
        <f t="shared" ref="K104:O104" si="43">K100/K102</f>
        <v>0.58353526230770936</v>
      </c>
      <c r="L104" s="110">
        <f t="shared" si="43"/>
        <v>0.45744134649917051</v>
      </c>
      <c r="M104" s="110">
        <f t="shared" si="43"/>
        <v>0.54905196480969365</v>
      </c>
      <c r="N104" s="110">
        <f t="shared" si="43"/>
        <v>0.80939188076182467</v>
      </c>
      <c r="O104" s="110">
        <f t="shared" si="43"/>
        <v>0.70047918093384964</v>
      </c>
      <c r="P104" s="110">
        <f>P100/P102</f>
        <v>0.58265836457180487</v>
      </c>
    </row>
    <row r="105" spans="1:18" ht="12.75" customHeight="1">
      <c r="A105" s="1" t="s">
        <v>6</v>
      </c>
    </row>
    <row r="106" spans="1:18">
      <c r="A106" s="1" t="s">
        <v>3</v>
      </c>
    </row>
    <row r="109" spans="1:18">
      <c r="C109" s="14">
        <f>P101</f>
        <v>14648.886</v>
      </c>
    </row>
    <row r="110" spans="1:18">
      <c r="B110" s="1" t="s">
        <v>12</v>
      </c>
      <c r="C110" s="14">
        <f>P71</f>
        <v>23102.559000000001</v>
      </c>
    </row>
    <row r="111" spans="1:18">
      <c r="B111" s="1" t="s">
        <v>11</v>
      </c>
    </row>
  </sheetData>
  <mergeCells count="9">
    <mergeCell ref="B100:B102"/>
    <mergeCell ref="B5:B17"/>
    <mergeCell ref="B18:B30"/>
    <mergeCell ref="B57:B69"/>
    <mergeCell ref="B83:B85"/>
    <mergeCell ref="B89:B94"/>
    <mergeCell ref="B44:B56"/>
    <mergeCell ref="B70:B82"/>
    <mergeCell ref="B31:B43"/>
  </mergeCells>
  <pageMargins left="0.39370078740157483" right="0.19685039370078741" top="0.59055118110236227" bottom="0.39370078740157483" header="0.51181102362204722" footer="0.51181102362204722"/>
  <pageSetup paperSize="9" scale="3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58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I18" sqref="I18:I19"/>
    </sheetView>
  </sheetViews>
  <sheetFormatPr defaultRowHeight="12.75"/>
  <cols>
    <col min="1" max="1" width="4.375" style="1" customWidth="1"/>
    <col min="2" max="2" width="18.375" style="1" customWidth="1"/>
    <col min="3" max="3" width="32.75" style="1" customWidth="1"/>
    <col min="4" max="15" width="9.125" style="1" customWidth="1"/>
    <col min="16" max="16" width="10.625" style="1" customWidth="1"/>
    <col min="17" max="17" width="1.875" style="1" customWidth="1"/>
    <col min="18" max="18" width="8.75" style="1" customWidth="1"/>
    <col min="19" max="16384" width="9" style="1"/>
  </cols>
  <sheetData>
    <row r="1" spans="1:18" ht="41.25" customHeight="1" thickBot="1">
      <c r="B1" s="6" t="s">
        <v>4</v>
      </c>
      <c r="G1" s="1">
        <v>1000</v>
      </c>
      <c r="J1" s="1">
        <v>60</v>
      </c>
      <c r="P1" s="34" t="s">
        <v>16</v>
      </c>
      <c r="Q1" s="1">
        <v>60</v>
      </c>
    </row>
    <row r="2" spans="1:18" ht="15" customHeight="1" thickBot="1">
      <c r="B2" s="6"/>
      <c r="C2" s="1" t="s">
        <v>62</v>
      </c>
      <c r="P2" s="35">
        <v>0.47</v>
      </c>
      <c r="Q2" s="33"/>
      <c r="R2" s="33"/>
    </row>
    <row r="3" spans="1:18" s="5" customFormat="1" ht="18" customHeight="1" thickBot="1">
      <c r="A3" s="4"/>
      <c r="B3" s="76"/>
      <c r="C3" s="13"/>
      <c r="D3" s="87">
        <v>41640</v>
      </c>
      <c r="E3" s="87">
        <v>41671</v>
      </c>
      <c r="F3" s="87">
        <v>41699</v>
      </c>
      <c r="G3" s="87">
        <v>41730</v>
      </c>
      <c r="H3" s="87">
        <v>41760</v>
      </c>
      <c r="I3" s="87">
        <v>41791</v>
      </c>
      <c r="J3" s="89">
        <v>41821</v>
      </c>
      <c r="K3" s="124">
        <v>41852</v>
      </c>
      <c r="L3" s="89">
        <v>41883</v>
      </c>
      <c r="M3" s="124">
        <v>41913</v>
      </c>
      <c r="N3" s="89">
        <v>41944</v>
      </c>
      <c r="O3" s="124">
        <v>41974</v>
      </c>
      <c r="P3" s="88" t="s">
        <v>18</v>
      </c>
    </row>
    <row r="4" spans="1:18" s="5" customFormat="1" ht="19.5" customHeight="1" thickBot="1">
      <c r="A4" s="4"/>
      <c r="B4" s="101"/>
      <c r="C4" s="85" t="s">
        <v>47</v>
      </c>
      <c r="D4" s="86">
        <v>21</v>
      </c>
      <c r="E4" s="86">
        <v>23</v>
      </c>
      <c r="F4" s="86">
        <v>26</v>
      </c>
      <c r="G4" s="86">
        <v>20</v>
      </c>
      <c r="H4" s="86">
        <v>25</v>
      </c>
      <c r="I4" s="86">
        <v>23</v>
      </c>
      <c r="J4" s="90">
        <v>26</v>
      </c>
      <c r="K4" s="90">
        <v>26</v>
      </c>
      <c r="L4" s="90">
        <v>20</v>
      </c>
      <c r="M4" s="90">
        <v>27</v>
      </c>
      <c r="N4" s="90">
        <v>21</v>
      </c>
      <c r="O4" s="90">
        <v>26</v>
      </c>
      <c r="P4" s="86">
        <f>SUM(D4:O4)</f>
        <v>284</v>
      </c>
    </row>
    <row r="5" spans="1:18" s="8" customFormat="1" ht="18.75" customHeight="1">
      <c r="A5" s="7"/>
      <c r="B5" s="196" t="s">
        <v>53</v>
      </c>
      <c r="C5" s="58" t="s">
        <v>0</v>
      </c>
      <c r="D5" s="16">
        <f t="shared" ref="D5:O5" si="0">D10/D13</f>
        <v>0.43784745964602778</v>
      </c>
      <c r="E5" s="16">
        <f t="shared" si="0"/>
        <v>0.40689867253993245</v>
      </c>
      <c r="F5" s="16">
        <f t="shared" si="0"/>
        <v>0.36938478902144362</v>
      </c>
      <c r="G5" s="16">
        <f t="shared" si="0"/>
        <v>0.32337638658640194</v>
      </c>
      <c r="H5" s="16">
        <f t="shared" si="0"/>
        <v>0.33004881978326595</v>
      </c>
      <c r="I5" s="16">
        <f t="shared" si="0"/>
        <v>0.32548210727401478</v>
      </c>
      <c r="J5" s="36">
        <f t="shared" si="0"/>
        <v>0.3307214234448817</v>
      </c>
      <c r="K5" s="36">
        <f t="shared" si="0"/>
        <v>0.40578799846113983</v>
      </c>
      <c r="L5" s="36">
        <f t="shared" si="0"/>
        <v>0.34602095870512561</v>
      </c>
      <c r="M5" s="36">
        <f t="shared" si="0"/>
        <v>0.35043967515348823</v>
      </c>
      <c r="N5" s="36">
        <f t="shared" si="0"/>
        <v>0.35858456957515816</v>
      </c>
      <c r="O5" s="36">
        <f t="shared" si="0"/>
        <v>0.43348375608819373</v>
      </c>
      <c r="P5" s="25">
        <f>P10/P13</f>
        <v>0.36814499727544697</v>
      </c>
    </row>
    <row r="6" spans="1:18" ht="19.5" customHeight="1">
      <c r="A6" s="3"/>
      <c r="B6" s="197"/>
      <c r="C6" s="59" t="s">
        <v>19</v>
      </c>
      <c r="D6" s="37">
        <v>462.61099999999999</v>
      </c>
      <c r="E6" s="37">
        <v>559.21600000000001</v>
      </c>
      <c r="F6" s="37">
        <v>536.47299999999996</v>
      </c>
      <c r="G6" s="37">
        <v>215.26599999999999</v>
      </c>
      <c r="H6" s="37">
        <v>236.85900000000001</v>
      </c>
      <c r="I6" s="18">
        <v>239.155</v>
      </c>
      <c r="J6" s="37">
        <v>274.72500000000002</v>
      </c>
      <c r="K6" s="37">
        <v>413.19200000000001</v>
      </c>
      <c r="L6" s="18">
        <v>401.88099999999997</v>
      </c>
      <c r="M6" s="18">
        <v>355.86200000000002</v>
      </c>
      <c r="N6" s="18">
        <v>327.904</v>
      </c>
      <c r="O6" s="37">
        <v>393.178</v>
      </c>
      <c r="P6" s="26">
        <f>SUM(D6:O6)</f>
        <v>4416.3220000000001</v>
      </c>
    </row>
    <row r="7" spans="1:18" ht="19.5" hidden="1" customHeight="1">
      <c r="A7" s="3"/>
      <c r="B7" s="197"/>
      <c r="C7" s="59" t="s">
        <v>14</v>
      </c>
      <c r="D7" s="37">
        <v>35</v>
      </c>
      <c r="E7" s="37">
        <v>33</v>
      </c>
      <c r="F7" s="37">
        <v>29</v>
      </c>
      <c r="G7" s="37">
        <v>30</v>
      </c>
      <c r="H7" s="37">
        <v>36</v>
      </c>
      <c r="I7" s="18">
        <v>34</v>
      </c>
      <c r="J7" s="37">
        <v>33</v>
      </c>
      <c r="K7" s="37">
        <v>34</v>
      </c>
      <c r="L7" s="18">
        <v>37</v>
      </c>
      <c r="M7" s="18">
        <v>41</v>
      </c>
      <c r="N7" s="18">
        <v>31</v>
      </c>
      <c r="O7" s="37">
        <v>31</v>
      </c>
      <c r="P7" s="26">
        <f>AVERAGE(D7:H7)</f>
        <v>32.6</v>
      </c>
    </row>
    <row r="8" spans="1:18" ht="19.5" hidden="1" customHeight="1">
      <c r="A8" s="3"/>
      <c r="B8" s="197"/>
      <c r="C8" s="59" t="s">
        <v>15</v>
      </c>
      <c r="D8" s="37"/>
      <c r="E8" s="37">
        <v>16</v>
      </c>
      <c r="F8" s="37">
        <v>19</v>
      </c>
      <c r="G8" s="37">
        <v>14</v>
      </c>
      <c r="H8" s="37">
        <v>19</v>
      </c>
      <c r="I8" s="18">
        <v>16</v>
      </c>
      <c r="J8" s="37">
        <v>13</v>
      </c>
      <c r="K8" s="37">
        <v>17</v>
      </c>
      <c r="L8" s="18">
        <v>23</v>
      </c>
      <c r="M8" s="18">
        <v>24</v>
      </c>
      <c r="N8" s="18">
        <v>17</v>
      </c>
      <c r="O8" s="37">
        <v>15</v>
      </c>
      <c r="P8" s="26">
        <f>AVERAGE(D8:H8)</f>
        <v>17</v>
      </c>
    </row>
    <row r="9" spans="1:18" ht="19.5" hidden="1" customHeight="1">
      <c r="A9" s="3"/>
      <c r="B9" s="197"/>
      <c r="C9" s="60" t="s">
        <v>59</v>
      </c>
      <c r="D9" s="38">
        <f>D6/D7</f>
        <v>13.217457142857143</v>
      </c>
      <c r="E9" s="38">
        <f>E6/E7</f>
        <v>16.945939393939394</v>
      </c>
      <c r="F9" s="38">
        <f t="shared" ref="F9:O9" si="1">F6/F7</f>
        <v>18.499068965517239</v>
      </c>
      <c r="G9" s="38">
        <f t="shared" si="1"/>
        <v>7.1755333333333331</v>
      </c>
      <c r="H9" s="38">
        <f t="shared" si="1"/>
        <v>6.5794166666666669</v>
      </c>
      <c r="I9" s="38">
        <f t="shared" si="1"/>
        <v>7.0339705882352943</v>
      </c>
      <c r="J9" s="38">
        <f t="shared" si="1"/>
        <v>8.3250000000000011</v>
      </c>
      <c r="K9" s="38">
        <f t="shared" si="1"/>
        <v>12.152705882352942</v>
      </c>
      <c r="L9" s="38">
        <f t="shared" si="1"/>
        <v>10.861648648648648</v>
      </c>
      <c r="M9" s="38">
        <f t="shared" si="1"/>
        <v>8.6795609756097569</v>
      </c>
      <c r="N9" s="38">
        <f t="shared" si="1"/>
        <v>10.577548387096774</v>
      </c>
      <c r="O9" s="38">
        <f t="shared" si="1"/>
        <v>12.68316129032258</v>
      </c>
      <c r="P9" s="26">
        <f>AVERAGE(D9:H9)</f>
        <v>12.483483100462756</v>
      </c>
    </row>
    <row r="10" spans="1:18" s="2" customFormat="1" ht="19.5" customHeight="1">
      <c r="A10" s="11"/>
      <c r="B10" s="197"/>
      <c r="C10" s="60" t="s">
        <v>21</v>
      </c>
      <c r="D10" s="37">
        <v>5241.7171340000004</v>
      </c>
      <c r="E10" s="37">
        <v>5583.9518630000011</v>
      </c>
      <c r="F10" s="37">
        <v>5662.4915110000002</v>
      </c>
      <c r="G10" s="37">
        <v>3745.2418289999996</v>
      </c>
      <c r="H10" s="37">
        <v>4724.4244219999991</v>
      </c>
      <c r="I10" s="37">
        <v>4743.42</v>
      </c>
      <c r="J10" s="37">
        <v>5031.8999999999996</v>
      </c>
      <c r="K10" s="37">
        <v>6202.08</v>
      </c>
      <c r="L10" s="18">
        <v>4001.94</v>
      </c>
      <c r="M10" s="18">
        <v>4753.5600000000004</v>
      </c>
      <c r="N10" s="18">
        <v>4046.34</v>
      </c>
      <c r="O10" s="37">
        <v>5959.5</v>
      </c>
      <c r="P10" s="27">
        <f>SUM(D10:O10)</f>
        <v>59696.566759000008</v>
      </c>
    </row>
    <row r="11" spans="1:18" ht="19.5" customHeight="1">
      <c r="A11" s="3"/>
      <c r="B11" s="197"/>
      <c r="C11" s="60" t="s">
        <v>8</v>
      </c>
      <c r="D11" s="37">
        <v>890.47826086956525</v>
      </c>
      <c r="E11" s="37">
        <v>1001.6521739130435</v>
      </c>
      <c r="F11" s="37">
        <v>1029.68</v>
      </c>
      <c r="G11" s="37">
        <v>1007.35</v>
      </c>
      <c r="H11" s="18">
        <v>973.84</v>
      </c>
      <c r="I11" s="18">
        <v>985</v>
      </c>
      <c r="J11" s="37">
        <v>982</v>
      </c>
      <c r="K11" s="37">
        <v>988</v>
      </c>
      <c r="L11" s="18">
        <v>984</v>
      </c>
      <c r="M11" s="18">
        <v>953</v>
      </c>
      <c r="N11" s="18">
        <v>912</v>
      </c>
      <c r="O11" s="37">
        <v>891</v>
      </c>
      <c r="P11" s="81">
        <f>AVERAGE(D11:O11)</f>
        <v>966.50003623188411</v>
      </c>
    </row>
    <row r="12" spans="1:18" ht="19.5" hidden="1" customHeight="1">
      <c r="A12" s="3"/>
      <c r="B12" s="197"/>
      <c r="C12" s="60" t="s">
        <v>7</v>
      </c>
      <c r="D12" s="19">
        <f>D11/1934</f>
        <v>0.46043343374848256</v>
      </c>
      <c r="E12" s="19">
        <f t="shared" ref="E12:O12" si="2">E11/1934</f>
        <v>0.51791735983094289</v>
      </c>
      <c r="F12" s="19">
        <f t="shared" si="2"/>
        <v>0.53240951396070324</v>
      </c>
      <c r="G12" s="19">
        <f t="shared" si="2"/>
        <v>0.52086349534643228</v>
      </c>
      <c r="H12" s="19">
        <f t="shared" si="2"/>
        <v>0.50353671147880041</v>
      </c>
      <c r="I12" s="19">
        <f t="shared" si="2"/>
        <v>0.50930713547052742</v>
      </c>
      <c r="J12" s="19">
        <f t="shared" si="2"/>
        <v>0.50775594622543951</v>
      </c>
      <c r="K12" s="19">
        <f t="shared" si="2"/>
        <v>0.51085832471561532</v>
      </c>
      <c r="L12" s="19">
        <f t="shared" si="2"/>
        <v>0.50879007238883145</v>
      </c>
      <c r="M12" s="19">
        <f t="shared" si="2"/>
        <v>0.49276111685625645</v>
      </c>
      <c r="N12" s="19">
        <f t="shared" si="2"/>
        <v>0.47156153050672184</v>
      </c>
      <c r="O12" s="162">
        <f t="shared" si="2"/>
        <v>0.46070320579110652</v>
      </c>
      <c r="P12" s="161">
        <f t="shared" ref="P12" si="3">P11/2140</f>
        <v>0.45163553094947856</v>
      </c>
    </row>
    <row r="13" spans="1:18" ht="19.5" customHeight="1">
      <c r="A13" s="3"/>
      <c r="B13" s="197"/>
      <c r="C13" s="60" t="s">
        <v>20</v>
      </c>
      <c r="D13" s="18">
        <v>11971.56</v>
      </c>
      <c r="E13" s="18">
        <v>13723.2</v>
      </c>
      <c r="F13" s="18">
        <v>15329.52</v>
      </c>
      <c r="G13" s="18">
        <v>11581.68</v>
      </c>
      <c r="H13" s="18">
        <v>14314.32</v>
      </c>
      <c r="I13" s="18">
        <v>14573.52</v>
      </c>
      <c r="J13" s="37">
        <v>15214.92</v>
      </c>
      <c r="K13" s="37">
        <v>15284.04</v>
      </c>
      <c r="L13" s="18">
        <v>11565.599999999999</v>
      </c>
      <c r="M13" s="18">
        <v>13564.56</v>
      </c>
      <c r="N13" s="18">
        <v>11284.2</v>
      </c>
      <c r="O13" s="37">
        <v>13747.92</v>
      </c>
      <c r="P13" s="27">
        <f>SUM(D13:O13)</f>
        <v>162155.04000000004</v>
      </c>
    </row>
    <row r="14" spans="1:18" ht="19.5" customHeight="1">
      <c r="A14" s="3"/>
      <c r="B14" s="197"/>
      <c r="C14" s="60" t="s">
        <v>9</v>
      </c>
      <c r="D14" s="21">
        <f t="shared" ref="D14:O14" si="4">D10/D6</f>
        <v>11.330723078353088</v>
      </c>
      <c r="E14" s="21">
        <f t="shared" si="4"/>
        <v>9.9853220633887467</v>
      </c>
      <c r="F14" s="21">
        <f t="shared" si="4"/>
        <v>10.555035409051342</v>
      </c>
      <c r="G14" s="21">
        <f t="shared" si="4"/>
        <v>17.398204217108134</v>
      </c>
      <c r="H14" s="73">
        <f t="shared" si="4"/>
        <v>19.946146956628201</v>
      </c>
      <c r="I14" s="73">
        <f t="shared" si="4"/>
        <v>19.834082498797851</v>
      </c>
      <c r="J14" s="73">
        <f t="shared" si="4"/>
        <v>18.316134316134313</v>
      </c>
      <c r="K14" s="73">
        <f t="shared" si="4"/>
        <v>15.010164766016766</v>
      </c>
      <c r="L14" s="73">
        <f t="shared" si="4"/>
        <v>9.9580223996655732</v>
      </c>
      <c r="M14" s="73">
        <f t="shared" si="4"/>
        <v>13.357874681758659</v>
      </c>
      <c r="N14" s="73">
        <f t="shared" si="4"/>
        <v>12.34001415048307</v>
      </c>
      <c r="O14" s="78">
        <f t="shared" si="4"/>
        <v>15.157257018449659</v>
      </c>
      <c r="P14" s="28">
        <f>P10/P6</f>
        <v>13.517258650750557</v>
      </c>
    </row>
    <row r="15" spans="1:18" ht="19.5" customHeight="1">
      <c r="A15" s="3"/>
      <c r="B15" s="197"/>
      <c r="C15" s="60" t="s">
        <v>22</v>
      </c>
      <c r="D15" s="37">
        <v>2404.3068149999999</v>
      </c>
      <c r="E15" s="37">
        <v>3009.0850800000003</v>
      </c>
      <c r="F15" s="37">
        <v>3233.6210699999992</v>
      </c>
      <c r="G15" s="37">
        <v>2289.25954</v>
      </c>
      <c r="H15" s="37">
        <v>2385.1438900000003</v>
      </c>
      <c r="I15" s="18">
        <v>2612.06736</v>
      </c>
      <c r="J15" s="37">
        <v>3111.2200600000001</v>
      </c>
      <c r="K15" s="37">
        <v>3506.712</v>
      </c>
      <c r="L15" s="18">
        <v>2045.5229999999999</v>
      </c>
      <c r="M15" s="18">
        <v>2581.3150000000001</v>
      </c>
      <c r="N15" s="18">
        <v>2132.123</v>
      </c>
      <c r="O15" s="37">
        <v>2366.3739999999998</v>
      </c>
      <c r="P15" s="27">
        <f>SUM(D15:O15)</f>
        <v>31676.750814999999</v>
      </c>
    </row>
    <row r="16" spans="1:18" ht="19.5" customHeight="1">
      <c r="A16" s="3"/>
      <c r="B16" s="197"/>
      <c r="C16" s="61" t="s">
        <v>10</v>
      </c>
      <c r="D16" s="22">
        <f t="shared" ref="D16:H16" si="5">D15/D6</f>
        <v>5.1972538806902557</v>
      </c>
      <c r="E16" s="22">
        <f t="shared" si="5"/>
        <v>5.3808994735486833</v>
      </c>
      <c r="F16" s="22">
        <f t="shared" si="5"/>
        <v>6.0275560373029018</v>
      </c>
      <c r="G16" s="22">
        <f t="shared" si="5"/>
        <v>10.634561612144974</v>
      </c>
      <c r="H16" s="22">
        <f t="shared" si="5"/>
        <v>10.069889216791426</v>
      </c>
      <c r="I16" s="22">
        <f>I15/I6</f>
        <v>10.922068783843114</v>
      </c>
      <c r="J16" s="22">
        <f t="shared" ref="J16:K16" si="6">J15/J6</f>
        <v>11.324852343252342</v>
      </c>
      <c r="K16" s="22">
        <f t="shared" si="6"/>
        <v>8.4868826114736002</v>
      </c>
      <c r="L16" s="22">
        <f t="shared" ref="L16:O16" si="7">L15/L6</f>
        <v>5.0898723751558297</v>
      </c>
      <c r="M16" s="22">
        <f t="shared" si="7"/>
        <v>7.2536966576931503</v>
      </c>
      <c r="N16" s="22">
        <f t="shared" si="7"/>
        <v>6.5022781057870596</v>
      </c>
      <c r="O16" s="79">
        <f t="shared" si="7"/>
        <v>6.018581914552696</v>
      </c>
      <c r="P16" s="29">
        <f t="shared" ref="P16" si="8">P15/P6</f>
        <v>7.1726542618495657</v>
      </c>
    </row>
    <row r="17" spans="1:60" ht="19.5" customHeight="1" thickBot="1">
      <c r="A17" s="3"/>
      <c r="B17" s="198"/>
      <c r="C17" s="62" t="s">
        <v>23</v>
      </c>
      <c r="D17" s="23">
        <f t="shared" ref="D17:P17" si="9">D15/D$4</f>
        <v>114.49080071428571</v>
      </c>
      <c r="E17" s="23">
        <f t="shared" si="9"/>
        <v>130.82978608695655</v>
      </c>
      <c r="F17" s="23">
        <f t="shared" si="9"/>
        <v>124.37004115384613</v>
      </c>
      <c r="G17" s="23">
        <f t="shared" si="9"/>
        <v>114.462977</v>
      </c>
      <c r="H17" s="23">
        <f t="shared" si="9"/>
        <v>95.405755600000006</v>
      </c>
      <c r="I17" s="23">
        <f>I15/I$4</f>
        <v>113.56814608695652</v>
      </c>
      <c r="J17" s="23">
        <f t="shared" ref="J17:K17" si="10">J15/J$4</f>
        <v>119.66231000000001</v>
      </c>
      <c r="K17" s="23">
        <f t="shared" si="10"/>
        <v>134.87353846153846</v>
      </c>
      <c r="L17" s="23">
        <f t="shared" ref="L17:O17" si="11">L15/L$4</f>
        <v>102.27615</v>
      </c>
      <c r="M17" s="23">
        <f t="shared" si="11"/>
        <v>95.604259259259265</v>
      </c>
      <c r="N17" s="23">
        <f t="shared" si="11"/>
        <v>101.52966666666667</v>
      </c>
      <c r="O17" s="160">
        <f t="shared" si="11"/>
        <v>91.014384615384614</v>
      </c>
      <c r="P17" s="30">
        <f t="shared" si="9"/>
        <v>111.53785498239436</v>
      </c>
    </row>
    <row r="18" spans="1:60" s="10" customFormat="1" ht="19.5" customHeight="1">
      <c r="A18" s="9"/>
      <c r="B18" s="199" t="s">
        <v>54</v>
      </c>
      <c r="C18" s="58" t="s">
        <v>0</v>
      </c>
      <c r="D18" s="16">
        <f t="shared" ref="D18:O18" si="12">D23/D26</f>
        <v>0.53669675013779239</v>
      </c>
      <c r="E18" s="16">
        <f t="shared" si="12"/>
        <v>0.56544982686630618</v>
      </c>
      <c r="F18" s="16">
        <f t="shared" si="12"/>
        <v>0.55401119573548552</v>
      </c>
      <c r="G18" s="16">
        <f t="shared" si="12"/>
        <v>0.51460075208546341</v>
      </c>
      <c r="H18" s="16">
        <f t="shared" si="12"/>
        <v>0.51140026946649686</v>
      </c>
      <c r="I18" s="16">
        <f t="shared" si="12"/>
        <v>0.54962734102177535</v>
      </c>
      <c r="J18" s="36">
        <f t="shared" si="12"/>
        <v>0.43374909926912125</v>
      </c>
      <c r="K18" s="36">
        <f t="shared" si="12"/>
        <v>0.48032056990204808</v>
      </c>
      <c r="L18" s="36">
        <f t="shared" si="12"/>
        <v>0.49300490980305622</v>
      </c>
      <c r="M18" s="36">
        <f t="shared" si="12"/>
        <v>0.55457096579780019</v>
      </c>
      <c r="N18" s="36">
        <f t="shared" si="12"/>
        <v>0.41956096827544731</v>
      </c>
      <c r="O18" s="36">
        <f t="shared" si="12"/>
        <v>0.41685921440522672</v>
      </c>
      <c r="P18" s="25">
        <f>P23/P26</f>
        <v>0.50088603340916149</v>
      </c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</row>
    <row r="19" spans="1:60" ht="19.5" customHeight="1">
      <c r="A19" s="3"/>
      <c r="B19" s="200"/>
      <c r="C19" s="59" t="s">
        <v>19</v>
      </c>
      <c r="D19" s="37">
        <v>840.93700000000001</v>
      </c>
      <c r="E19" s="37">
        <v>1171.0119999999999</v>
      </c>
      <c r="F19" s="37">
        <v>1184.761</v>
      </c>
      <c r="G19" s="37">
        <v>725.60799999999995</v>
      </c>
      <c r="H19" s="37">
        <v>803.63499999999999</v>
      </c>
      <c r="I19" s="18">
        <v>971.51099999999997</v>
      </c>
      <c r="J19" s="37">
        <v>764.47</v>
      </c>
      <c r="K19" s="37">
        <v>701.85199999999998</v>
      </c>
      <c r="L19" s="18">
        <v>760.76900000000001</v>
      </c>
      <c r="M19" s="18">
        <v>989.93499999999995</v>
      </c>
      <c r="N19" s="18">
        <v>693.14599999999996</v>
      </c>
      <c r="O19" s="37">
        <v>694.39099999999996</v>
      </c>
      <c r="P19" s="26">
        <f>SUM(D19:O19)</f>
        <v>10302.027</v>
      </c>
    </row>
    <row r="20" spans="1:60" ht="19.5" hidden="1" customHeight="1">
      <c r="A20" s="3"/>
      <c r="B20" s="200"/>
      <c r="C20" s="59" t="s">
        <v>14</v>
      </c>
      <c r="D20" s="37">
        <v>58</v>
      </c>
      <c r="E20" s="37">
        <v>56</v>
      </c>
      <c r="F20" s="37">
        <v>42</v>
      </c>
      <c r="G20" s="37">
        <v>54</v>
      </c>
      <c r="H20" s="37">
        <v>68</v>
      </c>
      <c r="I20" s="18">
        <v>57</v>
      </c>
      <c r="J20" s="37">
        <v>72</v>
      </c>
      <c r="K20" s="37">
        <v>55</v>
      </c>
      <c r="L20" s="18">
        <v>55</v>
      </c>
      <c r="M20" s="18">
        <v>72</v>
      </c>
      <c r="N20" s="18">
        <v>41</v>
      </c>
      <c r="O20" s="37">
        <v>54</v>
      </c>
      <c r="P20" s="26">
        <f>AVERAGE(D20:H20)</f>
        <v>55.6</v>
      </c>
    </row>
    <row r="21" spans="1:60" ht="19.5" hidden="1" customHeight="1">
      <c r="A21" s="3"/>
      <c r="B21" s="200"/>
      <c r="C21" s="59" t="s">
        <v>15</v>
      </c>
      <c r="D21" s="37"/>
      <c r="E21" s="37">
        <v>38</v>
      </c>
      <c r="F21" s="37">
        <v>21</v>
      </c>
      <c r="G21" s="37">
        <v>31</v>
      </c>
      <c r="H21" s="37">
        <v>57</v>
      </c>
      <c r="I21" s="18">
        <v>29</v>
      </c>
      <c r="J21" s="37">
        <v>52</v>
      </c>
      <c r="K21" s="37">
        <v>22</v>
      </c>
      <c r="L21" s="18">
        <v>22</v>
      </c>
      <c r="M21" s="18">
        <v>50</v>
      </c>
      <c r="N21" s="18">
        <v>23</v>
      </c>
      <c r="O21" s="37">
        <v>41</v>
      </c>
      <c r="P21" s="26">
        <f>AVERAGE(D21:H21)</f>
        <v>36.75</v>
      </c>
    </row>
    <row r="22" spans="1:60" ht="19.5" hidden="1" customHeight="1">
      <c r="A22" s="3"/>
      <c r="B22" s="200"/>
      <c r="C22" s="60" t="s">
        <v>59</v>
      </c>
      <c r="D22" s="38">
        <f>D19/D20</f>
        <v>14.498913793103448</v>
      </c>
      <c r="E22" s="38">
        <f>E19/E20</f>
        <v>20.91092857142857</v>
      </c>
      <c r="F22" s="38">
        <f t="shared" ref="F22:O22" si="13">F19/F20</f>
        <v>28.208595238095238</v>
      </c>
      <c r="G22" s="38">
        <f t="shared" si="13"/>
        <v>13.437185185185184</v>
      </c>
      <c r="H22" s="38">
        <f t="shared" si="13"/>
        <v>11.818161764705883</v>
      </c>
      <c r="I22" s="38">
        <f t="shared" si="13"/>
        <v>17.044052631578946</v>
      </c>
      <c r="J22" s="38">
        <f t="shared" si="13"/>
        <v>10.617638888888889</v>
      </c>
      <c r="K22" s="38">
        <f t="shared" si="13"/>
        <v>12.760945454545453</v>
      </c>
      <c r="L22" s="38">
        <f t="shared" si="13"/>
        <v>13.832163636363637</v>
      </c>
      <c r="M22" s="38">
        <f t="shared" si="13"/>
        <v>13.749097222222222</v>
      </c>
      <c r="N22" s="38">
        <f t="shared" si="13"/>
        <v>16.905999999999999</v>
      </c>
      <c r="O22" s="38">
        <f t="shared" si="13"/>
        <v>12.859092592592592</v>
      </c>
      <c r="P22" s="26">
        <f>AVERAGE(D22:H22)</f>
        <v>17.774756910503662</v>
      </c>
    </row>
    <row r="23" spans="1:60" s="2" customFormat="1" ht="19.5" customHeight="1">
      <c r="A23" s="11"/>
      <c r="B23" s="200"/>
      <c r="C23" s="60" t="s">
        <v>21</v>
      </c>
      <c r="D23" s="37">
        <v>5530.8532210000003</v>
      </c>
      <c r="E23" s="18">
        <v>6489.4867189999995</v>
      </c>
      <c r="F23" s="37">
        <v>7199.1982049999997</v>
      </c>
      <c r="G23" s="37">
        <v>5073.3047265999994</v>
      </c>
      <c r="H23" s="37">
        <v>6555.0877419999988</v>
      </c>
      <c r="I23" s="37">
        <v>6868.5169999999998</v>
      </c>
      <c r="J23" s="37">
        <v>6067.56</v>
      </c>
      <c r="K23" s="37">
        <v>6796.4400000000005</v>
      </c>
      <c r="L23" s="18">
        <v>5362.02</v>
      </c>
      <c r="M23" s="18">
        <v>7066.92</v>
      </c>
      <c r="N23" s="18">
        <v>4688.04</v>
      </c>
      <c r="O23" s="37">
        <v>5650.56</v>
      </c>
      <c r="P23" s="27">
        <f>SUM(D23:O23)</f>
        <v>73347.987613599995</v>
      </c>
    </row>
    <row r="24" spans="1:60" ht="19.5" customHeight="1">
      <c r="A24" s="3"/>
      <c r="B24" s="200"/>
      <c r="C24" s="60" t="s">
        <v>8</v>
      </c>
      <c r="D24" s="37">
        <v>822.95238095238096</v>
      </c>
      <c r="E24" s="37">
        <v>846.47826086956525</v>
      </c>
      <c r="F24" s="37">
        <v>870.36</v>
      </c>
      <c r="G24" s="37">
        <v>881.63157894736844</v>
      </c>
      <c r="H24" s="37">
        <v>870.12</v>
      </c>
      <c r="I24" s="18">
        <v>913</v>
      </c>
      <c r="J24" s="37">
        <v>902</v>
      </c>
      <c r="K24" s="37">
        <v>911</v>
      </c>
      <c r="L24" s="18">
        <v>916</v>
      </c>
      <c r="M24" s="18">
        <v>923</v>
      </c>
      <c r="N24" s="18">
        <v>904</v>
      </c>
      <c r="O24" s="37">
        <v>883</v>
      </c>
      <c r="P24" s="81">
        <f>AVERAGE(D24:O24)</f>
        <v>886.96185173077629</v>
      </c>
    </row>
    <row r="25" spans="1:60" ht="19.5" hidden="1" customHeight="1">
      <c r="A25" s="3"/>
      <c r="B25" s="200"/>
      <c r="C25" s="60" t="s">
        <v>7</v>
      </c>
      <c r="D25" s="19">
        <f>D24/1774</f>
        <v>0.46389649433617869</v>
      </c>
      <c r="E25" s="19">
        <f t="shared" ref="E25:O25" si="14">E24/1774</f>
        <v>0.4771579824518406</v>
      </c>
      <c r="F25" s="19">
        <f t="shared" si="14"/>
        <v>0.49062006764374294</v>
      </c>
      <c r="G25" s="19">
        <f t="shared" si="14"/>
        <v>0.4969738325520679</v>
      </c>
      <c r="H25" s="19">
        <f t="shared" si="14"/>
        <v>0.49048478015783542</v>
      </c>
      <c r="I25" s="19">
        <f t="shared" si="14"/>
        <v>0.51465614430665163</v>
      </c>
      <c r="J25" s="77">
        <f t="shared" si="14"/>
        <v>0.50845546786922213</v>
      </c>
      <c r="K25" s="77">
        <f t="shared" si="14"/>
        <v>0.51352874859075537</v>
      </c>
      <c r="L25" s="77">
        <f t="shared" si="14"/>
        <v>0.51634723788049608</v>
      </c>
      <c r="M25" s="77">
        <f t="shared" si="14"/>
        <v>0.52029312288613305</v>
      </c>
      <c r="N25" s="77">
        <f t="shared" si="14"/>
        <v>0.5095828635851184</v>
      </c>
      <c r="O25" s="77">
        <f t="shared" si="14"/>
        <v>0.49774520856820742</v>
      </c>
      <c r="P25" s="161">
        <f t="shared" ref="P25" si="15">P24/1828</f>
        <v>0.48520889044353188</v>
      </c>
    </row>
    <row r="26" spans="1:60" ht="19.5" customHeight="1">
      <c r="A26" s="3"/>
      <c r="B26" s="200"/>
      <c r="C26" s="60" t="s">
        <v>20</v>
      </c>
      <c r="D26" s="18">
        <v>10305.36</v>
      </c>
      <c r="E26" s="18">
        <v>11476.68</v>
      </c>
      <c r="F26" s="18">
        <v>12994.68</v>
      </c>
      <c r="G26" s="18">
        <v>9858.7199999999993</v>
      </c>
      <c r="H26" s="18">
        <v>12817.92</v>
      </c>
      <c r="I26" s="18">
        <v>12496.68</v>
      </c>
      <c r="J26" s="37">
        <v>13988.64</v>
      </c>
      <c r="K26" s="37">
        <v>14149.800000000001</v>
      </c>
      <c r="L26" s="18">
        <v>10876.2</v>
      </c>
      <c r="M26" s="18">
        <v>12743.04</v>
      </c>
      <c r="N26" s="18">
        <v>11173.68</v>
      </c>
      <c r="O26" s="37">
        <v>13555.08</v>
      </c>
      <c r="P26" s="27">
        <f>SUM(D26:O26)</f>
        <v>146436.47999999998</v>
      </c>
    </row>
    <row r="27" spans="1:60" ht="19.5" customHeight="1">
      <c r="A27" s="3"/>
      <c r="B27" s="200"/>
      <c r="C27" s="60" t="s">
        <v>9</v>
      </c>
      <c r="D27" s="21">
        <f t="shared" ref="D27:M27" si="16">D23/D19</f>
        <v>6.5770125716908643</v>
      </c>
      <c r="E27" s="21">
        <f t="shared" si="16"/>
        <v>5.5417764455018395</v>
      </c>
      <c r="F27" s="21">
        <f t="shared" si="16"/>
        <v>6.0764983021892176</v>
      </c>
      <c r="G27" s="21">
        <f t="shared" si="16"/>
        <v>6.991798225212511</v>
      </c>
      <c r="H27" s="21">
        <f t="shared" si="16"/>
        <v>8.1567972300857967</v>
      </c>
      <c r="I27" s="21">
        <f t="shared" si="16"/>
        <v>7.069932301332666</v>
      </c>
      <c r="J27" s="78">
        <f t="shared" si="16"/>
        <v>7.9369497822020483</v>
      </c>
      <c r="K27" s="78">
        <f t="shared" si="16"/>
        <v>9.6835800140200501</v>
      </c>
      <c r="L27" s="78">
        <f t="shared" si="16"/>
        <v>7.0481578508062244</v>
      </c>
      <c r="M27" s="78">
        <f t="shared" si="16"/>
        <v>7.1387717375383239</v>
      </c>
      <c r="N27" s="78">
        <f>N23/N19</f>
        <v>6.7634235788708299</v>
      </c>
      <c r="O27" s="78">
        <f>O23/O19</f>
        <v>8.1374326568172695</v>
      </c>
      <c r="P27" s="28">
        <f>P23/P19</f>
        <v>7.1197627043299336</v>
      </c>
    </row>
    <row r="28" spans="1:60" ht="19.5" customHeight="1">
      <c r="A28" s="3"/>
      <c r="B28" s="200"/>
      <c r="C28" s="60" t="s">
        <v>22</v>
      </c>
      <c r="D28" s="37">
        <v>2796.1408240000001</v>
      </c>
      <c r="E28" s="37">
        <v>2950.7770850000002</v>
      </c>
      <c r="F28" s="37">
        <v>3439.1372799999995</v>
      </c>
      <c r="G28" s="37">
        <v>2890.8669650000002</v>
      </c>
      <c r="H28" s="37">
        <v>3435.98954</v>
      </c>
      <c r="I28" s="18">
        <v>3157.917019</v>
      </c>
      <c r="J28" s="37">
        <v>3467.11411</v>
      </c>
      <c r="K28" s="37">
        <v>4341.5050000000001</v>
      </c>
      <c r="L28" s="37">
        <v>2713.7370000000001</v>
      </c>
      <c r="M28" s="37">
        <v>3698.422</v>
      </c>
      <c r="N28" s="37">
        <v>2294.4380000000001</v>
      </c>
      <c r="O28" s="37">
        <v>2772.9479999999999</v>
      </c>
      <c r="P28" s="27">
        <f>SUM(D28:O28)</f>
        <v>37958.992823</v>
      </c>
    </row>
    <row r="29" spans="1:60" ht="19.5" customHeight="1">
      <c r="A29" s="3"/>
      <c r="B29" s="200"/>
      <c r="C29" s="61" t="s">
        <v>10</v>
      </c>
      <c r="D29" s="22">
        <f t="shared" ref="D29:H29" si="17">D28/D19</f>
        <v>3.3250300842988239</v>
      </c>
      <c r="E29" s="22">
        <f t="shared" si="17"/>
        <v>2.519852132172856</v>
      </c>
      <c r="F29" s="22">
        <f t="shared" si="17"/>
        <v>2.9028110142045525</v>
      </c>
      <c r="G29" s="22">
        <f t="shared" si="17"/>
        <v>3.9840615938633537</v>
      </c>
      <c r="H29" s="22">
        <f t="shared" si="17"/>
        <v>4.2755598499318719</v>
      </c>
      <c r="I29" s="22">
        <f>I28/I19</f>
        <v>3.2505211150465616</v>
      </c>
      <c r="J29" s="22">
        <f t="shared" ref="J29:O29" si="18">J28/J19</f>
        <v>4.5353174225280259</v>
      </c>
      <c r="K29" s="22">
        <f t="shared" si="18"/>
        <v>6.1857841824202255</v>
      </c>
      <c r="L29" s="22">
        <f t="shared" si="18"/>
        <v>3.5670972397666048</v>
      </c>
      <c r="M29" s="22">
        <f>M28/M19</f>
        <v>3.7360250925565821</v>
      </c>
      <c r="N29" s="22">
        <f>N28/N19</f>
        <v>3.3101799620859103</v>
      </c>
      <c r="O29" s="79">
        <f t="shared" si="18"/>
        <v>3.9933524484044294</v>
      </c>
      <c r="P29" s="29">
        <f t="shared" ref="P29" si="19">P28/P19</f>
        <v>3.6846139913048179</v>
      </c>
    </row>
    <row r="30" spans="1:60" ht="19.5" customHeight="1" thickBot="1">
      <c r="A30" s="3"/>
      <c r="B30" s="201"/>
      <c r="C30" s="62" t="s">
        <v>23</v>
      </c>
      <c r="D30" s="23">
        <f t="shared" ref="D30:H30" si="20">D28/D$4</f>
        <v>133.14956304761904</v>
      </c>
      <c r="E30" s="23">
        <f t="shared" si="20"/>
        <v>128.29465586956522</v>
      </c>
      <c r="F30" s="23">
        <f t="shared" si="20"/>
        <v>132.27451076923074</v>
      </c>
      <c r="G30" s="23">
        <f t="shared" si="20"/>
        <v>144.54334825000001</v>
      </c>
      <c r="H30" s="23">
        <f t="shared" si="20"/>
        <v>137.4395816</v>
      </c>
      <c r="I30" s="23">
        <f>I28/I$4</f>
        <v>137.30073995652174</v>
      </c>
      <c r="J30" s="23">
        <f t="shared" ref="J30:O30" si="21">J28/J$4</f>
        <v>133.3505426923077</v>
      </c>
      <c r="K30" s="23">
        <f t="shared" si="21"/>
        <v>166.98096153846154</v>
      </c>
      <c r="L30" s="23">
        <f t="shared" si="21"/>
        <v>135.68684999999999</v>
      </c>
      <c r="M30" s="23">
        <f>M28/M$4</f>
        <v>136.97859259259261</v>
      </c>
      <c r="N30" s="23">
        <f>N28/N$4</f>
        <v>109.25895238095238</v>
      </c>
      <c r="O30" s="160">
        <f t="shared" si="21"/>
        <v>106.65184615384615</v>
      </c>
      <c r="P30" s="30">
        <f t="shared" ref="P30" si="22">P28/P$4</f>
        <v>133.65842543309859</v>
      </c>
    </row>
    <row r="31" spans="1:60" ht="19.5" customHeight="1">
      <c r="A31" s="3"/>
      <c r="B31" s="199" t="s">
        <v>55</v>
      </c>
      <c r="C31" s="58" t="s">
        <v>0</v>
      </c>
      <c r="D31" s="16">
        <f t="shared" ref="D31:F31" si="23">D36/D39</f>
        <v>0.48357539350143558</v>
      </c>
      <c r="E31" s="16">
        <f t="shared" si="23"/>
        <v>0.47910698709676397</v>
      </c>
      <c r="F31" s="16">
        <f t="shared" si="23"/>
        <v>0.4540883666970294</v>
      </c>
      <c r="G31" s="16">
        <f t="shared" ref="G31:O31" si="24">G36/G39</f>
        <v>0.41130513216171327</v>
      </c>
      <c r="H31" s="16">
        <f t="shared" si="24"/>
        <v>0.41572358802664278</v>
      </c>
      <c r="I31" s="16">
        <f t="shared" si="24"/>
        <v>0.42895645396044357</v>
      </c>
      <c r="J31" s="36">
        <f t="shared" si="24"/>
        <v>0.3800721555865107</v>
      </c>
      <c r="K31" s="16">
        <f t="shared" si="24"/>
        <v>0.44161821902952514</v>
      </c>
      <c r="L31" s="16">
        <f t="shared" si="24"/>
        <v>0.41725530037697517</v>
      </c>
      <c r="M31" s="16">
        <f t="shared" si="24"/>
        <v>0.44931806778269401</v>
      </c>
      <c r="N31" s="16">
        <f t="shared" si="24"/>
        <v>0.38892273001725902</v>
      </c>
      <c r="O31" s="36">
        <f t="shared" si="24"/>
        <v>0.42523019448412269</v>
      </c>
      <c r="P31" s="25">
        <f>P36/P39</f>
        <v>0.43113483602076957</v>
      </c>
    </row>
    <row r="32" spans="1:60" ht="19.5" customHeight="1">
      <c r="A32" s="3"/>
      <c r="B32" s="200"/>
      <c r="C32" s="59" t="s">
        <v>19</v>
      </c>
      <c r="D32" s="37">
        <f t="shared" ref="D32:J41" si="25">SUM(D6,D19)</f>
        <v>1303.548</v>
      </c>
      <c r="E32" s="37">
        <f t="shared" si="25"/>
        <v>1730.2280000000001</v>
      </c>
      <c r="F32" s="37">
        <f t="shared" si="25"/>
        <v>1721.2339999999999</v>
      </c>
      <c r="G32" s="37">
        <f t="shared" si="25"/>
        <v>940.87399999999991</v>
      </c>
      <c r="H32" s="37">
        <f t="shared" si="25"/>
        <v>1040.4939999999999</v>
      </c>
      <c r="I32" s="37">
        <f t="shared" si="25"/>
        <v>1210.6659999999999</v>
      </c>
      <c r="J32" s="37">
        <f t="shared" si="25"/>
        <v>1039.1950000000002</v>
      </c>
      <c r="K32" s="18">
        <f t="shared" ref="K32:O32" si="26">SUM(K6,K19)</f>
        <v>1115.0439999999999</v>
      </c>
      <c r="L32" s="18">
        <f t="shared" si="26"/>
        <v>1162.6500000000001</v>
      </c>
      <c r="M32" s="18">
        <f t="shared" si="26"/>
        <v>1345.797</v>
      </c>
      <c r="N32" s="18">
        <f t="shared" si="26"/>
        <v>1021.05</v>
      </c>
      <c r="O32" s="37">
        <f t="shared" si="26"/>
        <v>1087.569</v>
      </c>
      <c r="P32" s="26">
        <f>SUM(D32:O32)</f>
        <v>14718.348999999998</v>
      </c>
    </row>
    <row r="33" spans="1:18" ht="19.5" hidden="1" customHeight="1">
      <c r="A33" s="3"/>
      <c r="B33" s="200"/>
      <c r="C33" s="59" t="s">
        <v>14</v>
      </c>
      <c r="D33" s="37">
        <f t="shared" si="25"/>
        <v>93</v>
      </c>
      <c r="E33" s="37">
        <f t="shared" si="25"/>
        <v>89</v>
      </c>
      <c r="F33" s="37">
        <f t="shared" si="25"/>
        <v>71</v>
      </c>
      <c r="G33" s="37">
        <f t="shared" si="25"/>
        <v>84</v>
      </c>
      <c r="H33" s="37">
        <f t="shared" si="25"/>
        <v>104</v>
      </c>
      <c r="I33" s="37">
        <f t="shared" si="25"/>
        <v>91</v>
      </c>
      <c r="J33" s="37">
        <f t="shared" si="25"/>
        <v>105</v>
      </c>
      <c r="K33" s="18">
        <f t="shared" ref="K33:O33" si="27">SUM(K7,K20)</f>
        <v>89</v>
      </c>
      <c r="L33" s="18">
        <f t="shared" si="27"/>
        <v>92</v>
      </c>
      <c r="M33" s="18">
        <f t="shared" si="27"/>
        <v>113</v>
      </c>
      <c r="N33" s="18">
        <f t="shared" si="27"/>
        <v>72</v>
      </c>
      <c r="O33" s="37">
        <f t="shared" si="27"/>
        <v>85</v>
      </c>
      <c r="P33" s="26">
        <f>AVERAGE(D33:H33)</f>
        <v>88.2</v>
      </c>
    </row>
    <row r="34" spans="1:18" ht="19.5" hidden="1" customHeight="1">
      <c r="A34" s="3"/>
      <c r="B34" s="200"/>
      <c r="C34" s="59" t="s">
        <v>15</v>
      </c>
      <c r="D34" s="37">
        <f t="shared" si="25"/>
        <v>0</v>
      </c>
      <c r="E34" s="37">
        <f t="shared" si="25"/>
        <v>54</v>
      </c>
      <c r="F34" s="37">
        <f t="shared" si="25"/>
        <v>40</v>
      </c>
      <c r="G34" s="37">
        <f t="shared" si="25"/>
        <v>45</v>
      </c>
      <c r="H34" s="37">
        <f t="shared" si="25"/>
        <v>76</v>
      </c>
      <c r="I34" s="37">
        <f t="shared" si="25"/>
        <v>45</v>
      </c>
      <c r="J34" s="37">
        <f t="shared" si="25"/>
        <v>65</v>
      </c>
      <c r="K34" s="18">
        <f t="shared" ref="K34" si="28">SUM(K8,K21)</f>
        <v>39</v>
      </c>
      <c r="L34" s="18">
        <f>SUM(L8,L21)</f>
        <v>45</v>
      </c>
      <c r="M34" s="18">
        <f t="shared" ref="M34:O34" si="29">SUM(M8,M21)</f>
        <v>74</v>
      </c>
      <c r="N34" s="18">
        <f t="shared" si="29"/>
        <v>40</v>
      </c>
      <c r="O34" s="37">
        <f t="shared" si="29"/>
        <v>56</v>
      </c>
      <c r="P34" s="26">
        <f>AVERAGE(D34:H34)</f>
        <v>43</v>
      </c>
    </row>
    <row r="35" spans="1:18" ht="19.5" hidden="1" customHeight="1">
      <c r="A35" s="3"/>
      <c r="B35" s="200"/>
      <c r="C35" s="60" t="s">
        <v>59</v>
      </c>
      <c r="D35" s="38">
        <f>D32/D33</f>
        <v>14.016645161290322</v>
      </c>
      <c r="E35" s="38">
        <f t="shared" ref="E35:O35" si="30">E32/E33</f>
        <v>19.440764044943823</v>
      </c>
      <c r="F35" s="38">
        <f t="shared" si="30"/>
        <v>24.242732394366197</v>
      </c>
      <c r="G35" s="38">
        <f t="shared" si="30"/>
        <v>11.200880952380951</v>
      </c>
      <c r="H35" s="38">
        <f t="shared" si="30"/>
        <v>10.00475</v>
      </c>
      <c r="I35" s="38">
        <f t="shared" si="30"/>
        <v>13.304021978021977</v>
      </c>
      <c r="J35" s="38">
        <f t="shared" si="30"/>
        <v>9.8970952380952397</v>
      </c>
      <c r="K35" s="17">
        <f t="shared" si="30"/>
        <v>12.52858426966292</v>
      </c>
      <c r="L35" s="17">
        <f t="shared" si="30"/>
        <v>12.637500000000001</v>
      </c>
      <c r="M35" s="17">
        <f t="shared" si="30"/>
        <v>11.90970796460177</v>
      </c>
      <c r="N35" s="17">
        <f t="shared" si="30"/>
        <v>14.181249999999999</v>
      </c>
      <c r="O35" s="38">
        <f t="shared" si="30"/>
        <v>12.794929411764706</v>
      </c>
      <c r="P35" s="26">
        <f>AVERAGE(D35:H35)</f>
        <v>15.781154510596261</v>
      </c>
    </row>
    <row r="36" spans="1:18" ht="19.5" customHeight="1">
      <c r="A36" s="3"/>
      <c r="B36" s="200"/>
      <c r="C36" s="60" t="s">
        <v>21</v>
      </c>
      <c r="D36" s="37">
        <f t="shared" si="25"/>
        <v>10772.570355</v>
      </c>
      <c r="E36" s="18">
        <f t="shared" si="25"/>
        <v>12073.438582000001</v>
      </c>
      <c r="F36" s="37">
        <f t="shared" si="25"/>
        <v>12861.689716000001</v>
      </c>
      <c r="G36" s="37">
        <f t="shared" si="25"/>
        <v>8818.5465555999981</v>
      </c>
      <c r="H36" s="37">
        <f t="shared" si="25"/>
        <v>11279.512163999998</v>
      </c>
      <c r="I36" s="37">
        <f t="shared" si="25"/>
        <v>11611.937</v>
      </c>
      <c r="J36" s="37">
        <f t="shared" si="25"/>
        <v>11099.46</v>
      </c>
      <c r="K36" s="18">
        <f t="shared" ref="K36:O36" si="31">SUM(K10,K23)</f>
        <v>12998.52</v>
      </c>
      <c r="L36" s="18">
        <f t="shared" si="31"/>
        <v>9363.9600000000009</v>
      </c>
      <c r="M36" s="18">
        <f t="shared" si="31"/>
        <v>11820.48</v>
      </c>
      <c r="N36" s="18">
        <f t="shared" si="31"/>
        <v>8734.380000000001</v>
      </c>
      <c r="O36" s="37">
        <f t="shared" si="31"/>
        <v>11610.060000000001</v>
      </c>
      <c r="P36" s="27">
        <f>SUM(D36:O36)</f>
        <v>133044.55437260002</v>
      </c>
    </row>
    <row r="37" spans="1:18" ht="19.5" customHeight="1">
      <c r="A37" s="3"/>
      <c r="B37" s="200"/>
      <c r="C37" s="60" t="s">
        <v>8</v>
      </c>
      <c r="D37" s="37">
        <f t="shared" si="25"/>
        <v>1713.4306418219462</v>
      </c>
      <c r="E37" s="37">
        <f t="shared" si="25"/>
        <v>1848.1304347826087</v>
      </c>
      <c r="F37" s="37">
        <f t="shared" si="25"/>
        <v>1900.04</v>
      </c>
      <c r="G37" s="37">
        <f t="shared" si="25"/>
        <v>1888.9815789473685</v>
      </c>
      <c r="H37" s="37">
        <f t="shared" si="25"/>
        <v>1843.96</v>
      </c>
      <c r="I37" s="37">
        <f t="shared" si="25"/>
        <v>1898</v>
      </c>
      <c r="J37" s="37">
        <f t="shared" si="25"/>
        <v>1884</v>
      </c>
      <c r="K37" s="18">
        <f t="shared" ref="K37:O37" si="32">SUM(K11,K24)</f>
        <v>1899</v>
      </c>
      <c r="L37" s="18">
        <f t="shared" si="32"/>
        <v>1900</v>
      </c>
      <c r="M37" s="18">
        <f t="shared" si="32"/>
        <v>1876</v>
      </c>
      <c r="N37" s="18">
        <f t="shared" si="32"/>
        <v>1816</v>
      </c>
      <c r="O37" s="37">
        <f t="shared" si="32"/>
        <v>1774</v>
      </c>
      <c r="P37" s="81">
        <f>AVERAGE(D37:O37)</f>
        <v>1853.4618879626603</v>
      </c>
    </row>
    <row r="38" spans="1:18" ht="19.5" hidden="1" customHeight="1">
      <c r="A38" s="3"/>
      <c r="B38" s="200"/>
      <c r="C38" s="60" t="s">
        <v>7</v>
      </c>
      <c r="D38" s="19">
        <f>D37/3706</f>
        <v>0.46233962272583545</v>
      </c>
      <c r="E38" s="19">
        <f t="shared" ref="E38:O38" si="33">E37/3706</f>
        <v>0.49868603205143247</v>
      </c>
      <c r="F38" s="19">
        <f t="shared" si="33"/>
        <v>0.51269293038316244</v>
      </c>
      <c r="G38" s="19">
        <f t="shared" si="33"/>
        <v>0.5097090067316159</v>
      </c>
      <c r="H38" s="19">
        <f t="shared" si="33"/>
        <v>0.49756071235833782</v>
      </c>
      <c r="I38" s="19">
        <f t="shared" si="33"/>
        <v>0.5121424716675661</v>
      </c>
      <c r="J38" s="19">
        <f t="shared" si="33"/>
        <v>0.50836481381543441</v>
      </c>
      <c r="K38" s="19">
        <f t="shared" si="33"/>
        <v>0.51241230437128982</v>
      </c>
      <c r="L38" s="19">
        <f t="shared" si="33"/>
        <v>0.51268213707501353</v>
      </c>
      <c r="M38" s="19">
        <f t="shared" si="33"/>
        <v>0.50620615218564491</v>
      </c>
      <c r="N38" s="19">
        <f t="shared" si="33"/>
        <v>0.4900161899622234</v>
      </c>
      <c r="O38" s="162">
        <f t="shared" si="33"/>
        <v>0.47868321640582839</v>
      </c>
      <c r="P38" s="161">
        <f t="shared" ref="P38" si="34">P37/3728</f>
        <v>0.49717325320886813</v>
      </c>
    </row>
    <row r="39" spans="1:18" ht="19.5" customHeight="1">
      <c r="A39" s="3"/>
      <c r="B39" s="200"/>
      <c r="C39" s="60" t="s">
        <v>20</v>
      </c>
      <c r="D39" s="18">
        <f t="shared" si="25"/>
        <v>22276.92</v>
      </c>
      <c r="E39" s="18">
        <f t="shared" si="25"/>
        <v>25199.88</v>
      </c>
      <c r="F39" s="18">
        <f t="shared" si="25"/>
        <v>28324.2</v>
      </c>
      <c r="G39" s="18">
        <f t="shared" ref="G39:O39" si="35">SUM(G13,G26)</f>
        <v>21440.400000000001</v>
      </c>
      <c r="H39" s="18">
        <f t="shared" si="35"/>
        <v>27132.239999999998</v>
      </c>
      <c r="I39" s="18">
        <f t="shared" si="35"/>
        <v>27070.2</v>
      </c>
      <c r="J39" s="37">
        <f t="shared" si="35"/>
        <v>29203.559999999998</v>
      </c>
      <c r="K39" s="18">
        <f t="shared" si="35"/>
        <v>29433.840000000004</v>
      </c>
      <c r="L39" s="18">
        <f t="shared" si="35"/>
        <v>22441.8</v>
      </c>
      <c r="M39" s="18">
        <f t="shared" si="35"/>
        <v>26307.599999999999</v>
      </c>
      <c r="N39" s="18">
        <f t="shared" si="35"/>
        <v>22457.88</v>
      </c>
      <c r="O39" s="37">
        <f t="shared" si="35"/>
        <v>27303</v>
      </c>
      <c r="P39" s="27">
        <f>SUM(D39:O39)</f>
        <v>308591.51999999996</v>
      </c>
    </row>
    <row r="40" spans="1:18" ht="19.5" customHeight="1">
      <c r="A40" s="3"/>
      <c r="B40" s="200"/>
      <c r="C40" s="60" t="s">
        <v>9</v>
      </c>
      <c r="D40" s="21">
        <f t="shared" ref="D40:F40" si="36">D36/D32</f>
        <v>8.2640381136713028</v>
      </c>
      <c r="E40" s="21">
        <f t="shared" si="36"/>
        <v>6.9779465954775901</v>
      </c>
      <c r="F40" s="21">
        <f t="shared" si="36"/>
        <v>7.4723655911979439</v>
      </c>
      <c r="G40" s="21">
        <f t="shared" ref="G40:O40" si="37">G36/G32</f>
        <v>9.3727178725312843</v>
      </c>
      <c r="H40" s="21">
        <f t="shared" si="37"/>
        <v>10.840535518705536</v>
      </c>
      <c r="I40" s="21">
        <f t="shared" si="37"/>
        <v>9.5913629357725423</v>
      </c>
      <c r="J40" s="91">
        <f t="shared" si="37"/>
        <v>10.680825061706415</v>
      </c>
      <c r="K40" s="73">
        <f t="shared" si="37"/>
        <v>11.657405447677403</v>
      </c>
      <c r="L40" s="73">
        <f t="shared" si="37"/>
        <v>8.0539801315959227</v>
      </c>
      <c r="M40" s="73">
        <f t="shared" si="37"/>
        <v>8.7832563157742207</v>
      </c>
      <c r="N40" s="73">
        <f t="shared" si="37"/>
        <v>8.5543117379168514</v>
      </c>
      <c r="O40" s="78">
        <f t="shared" si="37"/>
        <v>10.67523991581224</v>
      </c>
      <c r="P40" s="28">
        <f>P36/P32</f>
        <v>9.0393667368942019</v>
      </c>
    </row>
    <row r="41" spans="1:18" ht="19.5" customHeight="1">
      <c r="A41" s="3"/>
      <c r="B41" s="200"/>
      <c r="C41" s="60" t="s">
        <v>22</v>
      </c>
      <c r="D41" s="37">
        <f t="shared" si="25"/>
        <v>5200.447639</v>
      </c>
      <c r="E41" s="37">
        <f t="shared" si="25"/>
        <v>5959.8621650000005</v>
      </c>
      <c r="F41" s="37">
        <f t="shared" si="25"/>
        <v>6672.7583499999982</v>
      </c>
      <c r="G41" s="37">
        <f t="shared" ref="G41:O41" si="38">SUM(G15,G28)</f>
        <v>5180.1265050000002</v>
      </c>
      <c r="H41" s="37">
        <f t="shared" si="38"/>
        <v>5821.1334299999999</v>
      </c>
      <c r="I41" s="37">
        <f t="shared" si="38"/>
        <v>5769.9843789999995</v>
      </c>
      <c r="J41" s="37">
        <f t="shared" si="38"/>
        <v>6578.3341700000001</v>
      </c>
      <c r="K41" s="18">
        <f t="shared" si="38"/>
        <v>7848.2170000000006</v>
      </c>
      <c r="L41" s="18">
        <f t="shared" si="38"/>
        <v>4759.26</v>
      </c>
      <c r="M41" s="18">
        <f>SUM(M15,M28)</f>
        <v>6279.7370000000001</v>
      </c>
      <c r="N41" s="18">
        <f>SUM(N15,N28)</f>
        <v>4426.5609999999997</v>
      </c>
      <c r="O41" s="37">
        <f t="shared" si="38"/>
        <v>5139.3220000000001</v>
      </c>
      <c r="P41" s="27">
        <f>SUM(D41:O41)</f>
        <v>69635.743638000014</v>
      </c>
    </row>
    <row r="42" spans="1:18" ht="19.5" customHeight="1">
      <c r="A42" s="3"/>
      <c r="B42" s="200"/>
      <c r="C42" s="61" t="s">
        <v>10</v>
      </c>
      <c r="D42" s="22">
        <f t="shared" ref="D42:O42" si="39">D41/D32</f>
        <v>3.9894561911030508</v>
      </c>
      <c r="E42" s="22">
        <f t="shared" si="39"/>
        <v>3.4445530675725977</v>
      </c>
      <c r="F42" s="22">
        <f t="shared" si="39"/>
        <v>3.8767293406939429</v>
      </c>
      <c r="G42" s="22">
        <f t="shared" si="39"/>
        <v>5.5056537910495988</v>
      </c>
      <c r="H42" s="22">
        <f t="shared" si="39"/>
        <v>5.5945862542215528</v>
      </c>
      <c r="I42" s="22">
        <f t="shared" si="39"/>
        <v>4.7659588846139229</v>
      </c>
      <c r="J42" s="22">
        <f t="shared" si="39"/>
        <v>6.3302211519493445</v>
      </c>
      <c r="K42" s="22">
        <f t="shared" si="39"/>
        <v>7.0384818895039132</v>
      </c>
      <c r="L42" s="22">
        <f t="shared" si="39"/>
        <v>4.093458908527932</v>
      </c>
      <c r="M42" s="22">
        <f t="shared" si="39"/>
        <v>4.6661844245454551</v>
      </c>
      <c r="N42" s="22">
        <f t="shared" si="39"/>
        <v>4.3353028744919442</v>
      </c>
      <c r="O42" s="79">
        <f t="shared" si="39"/>
        <v>4.72551350764871</v>
      </c>
      <c r="P42" s="29">
        <f t="shared" ref="P42" si="40">P41/P32</f>
        <v>4.7312197609935751</v>
      </c>
    </row>
    <row r="43" spans="1:18" ht="19.5" customHeight="1" thickBot="1">
      <c r="A43" s="3"/>
      <c r="B43" s="201"/>
      <c r="C43" s="62" t="s">
        <v>23</v>
      </c>
      <c r="D43" s="23">
        <f t="shared" ref="D43:O43" si="41">D41/D$4</f>
        <v>247.64036376190475</v>
      </c>
      <c r="E43" s="23">
        <f t="shared" si="41"/>
        <v>259.12444195652176</v>
      </c>
      <c r="F43" s="23">
        <f t="shared" si="41"/>
        <v>256.64455192307685</v>
      </c>
      <c r="G43" s="23">
        <f t="shared" si="41"/>
        <v>259.00632525000003</v>
      </c>
      <c r="H43" s="23">
        <f t="shared" si="41"/>
        <v>232.84533719999999</v>
      </c>
      <c r="I43" s="23">
        <f t="shared" si="41"/>
        <v>250.86888604347823</v>
      </c>
      <c r="J43" s="23">
        <f t="shared" si="41"/>
        <v>253.01285269230769</v>
      </c>
      <c r="K43" s="23">
        <f t="shared" si="41"/>
        <v>301.85450000000003</v>
      </c>
      <c r="L43" s="23">
        <f t="shared" si="41"/>
        <v>237.96300000000002</v>
      </c>
      <c r="M43" s="23">
        <f t="shared" si="41"/>
        <v>232.58285185185184</v>
      </c>
      <c r="N43" s="23">
        <f t="shared" si="41"/>
        <v>210.78861904761902</v>
      </c>
      <c r="O43" s="160">
        <f t="shared" si="41"/>
        <v>197.66623076923076</v>
      </c>
      <c r="P43" s="30">
        <f t="shared" ref="P43" si="42">P41/P$4</f>
        <v>245.19628041549302</v>
      </c>
    </row>
    <row r="44" spans="1:18" ht="9.75" customHeight="1" thickBot="1">
      <c r="A44" s="3"/>
      <c r="B44" s="105"/>
      <c r="C44" s="48"/>
      <c r="D44" s="106"/>
      <c r="E44" s="106"/>
      <c r="F44" s="106"/>
      <c r="G44" s="106"/>
      <c r="H44" s="106"/>
      <c r="I44" s="106"/>
      <c r="J44" s="106"/>
      <c r="K44" s="127"/>
      <c r="L44" s="127"/>
      <c r="M44" s="127"/>
      <c r="N44" s="127"/>
      <c r="O44" s="127"/>
      <c r="P44" s="106"/>
      <c r="R44" s="55"/>
    </row>
    <row r="45" spans="1:18" ht="19.5" hidden="1" customHeight="1" thickBot="1">
      <c r="A45" s="3"/>
      <c r="B45" s="205" t="s">
        <v>49</v>
      </c>
      <c r="C45" s="64" t="s">
        <v>57</v>
      </c>
      <c r="D45" s="83">
        <v>13989.483914</v>
      </c>
      <c r="E45" s="83">
        <v>11787.693634999996</v>
      </c>
      <c r="F45" s="83">
        <v>10502.347561</v>
      </c>
      <c r="G45" s="83">
        <v>11161.021465</v>
      </c>
      <c r="H45" s="83">
        <v>17050.731037000001</v>
      </c>
      <c r="I45" s="83"/>
      <c r="J45" s="112"/>
      <c r="K45" s="112"/>
      <c r="L45" s="83"/>
      <c r="M45" s="83"/>
      <c r="N45" s="83"/>
      <c r="O45" s="126"/>
      <c r="P45" s="32"/>
    </row>
    <row r="46" spans="1:18" ht="19.5" customHeight="1" thickBot="1">
      <c r="A46" s="3"/>
      <c r="B46" s="206"/>
      <c r="C46" s="67" t="s">
        <v>58</v>
      </c>
      <c r="D46" s="20">
        <v>1337.3679999999999</v>
      </c>
      <c r="E46" s="20">
        <v>1107.7729999999999</v>
      </c>
      <c r="F46" s="20">
        <v>1199.338</v>
      </c>
      <c r="G46" s="20">
        <v>1397.826</v>
      </c>
      <c r="H46" s="20">
        <v>1747.153</v>
      </c>
      <c r="I46" s="20">
        <v>1542.5429999999999</v>
      </c>
      <c r="J46" s="93">
        <v>1266.0219999999999</v>
      </c>
      <c r="K46" s="20">
        <v>1460.2950000000001</v>
      </c>
      <c r="L46" s="93">
        <v>638.30600000000004</v>
      </c>
      <c r="M46" s="20">
        <v>928.22199999999998</v>
      </c>
      <c r="N46" s="20">
        <v>979.17399999999998</v>
      </c>
      <c r="O46" s="24">
        <v>1611.8679999999999</v>
      </c>
      <c r="P46" s="31">
        <f>SUM(D46:O46)</f>
        <v>15215.888000000001</v>
      </c>
      <c r="R46" s="56">
        <f>P46/P$48</f>
        <v>0.8868191626852473</v>
      </c>
    </row>
    <row r="47" spans="1:18" ht="19.5" customHeight="1" thickBot="1">
      <c r="A47" s="3"/>
      <c r="B47" s="206"/>
      <c r="C47" s="65" t="s">
        <v>25</v>
      </c>
      <c r="D47" s="20">
        <v>168.501</v>
      </c>
      <c r="E47" s="20">
        <v>28.527999999999999</v>
      </c>
      <c r="F47" s="20">
        <v>0</v>
      </c>
      <c r="G47" s="20">
        <v>213.346</v>
      </c>
      <c r="H47" s="20">
        <v>5.5519999999999996</v>
      </c>
      <c r="I47" s="20">
        <v>96.141999999999996</v>
      </c>
      <c r="J47" s="93">
        <v>430.70800000000003</v>
      </c>
      <c r="K47" s="20">
        <v>213.29400000000001</v>
      </c>
      <c r="L47" s="93">
        <v>156.09700000000001</v>
      </c>
      <c r="M47" s="20">
        <v>310.78399999999999</v>
      </c>
      <c r="N47" s="20">
        <v>72.573999999999998</v>
      </c>
      <c r="O47" s="24">
        <v>246.411</v>
      </c>
      <c r="P47" s="31">
        <f>SUM(D47:O47)</f>
        <v>1941.9370000000004</v>
      </c>
      <c r="R47" s="57">
        <f>P47/P$48</f>
        <v>0.11318083731475292</v>
      </c>
    </row>
    <row r="48" spans="1:18" ht="19.5" customHeight="1" thickBot="1">
      <c r="A48" s="3"/>
      <c r="B48" s="207"/>
      <c r="C48" s="66" t="s">
        <v>26</v>
      </c>
      <c r="D48" s="46">
        <f t="shared" ref="D48:O48" si="43">SUM(D46,D47)</f>
        <v>1505.8689999999999</v>
      </c>
      <c r="E48" s="46">
        <f t="shared" si="43"/>
        <v>1136.3009999999999</v>
      </c>
      <c r="F48" s="46">
        <f t="shared" si="43"/>
        <v>1199.338</v>
      </c>
      <c r="G48" s="46">
        <f t="shared" si="43"/>
        <v>1611.172</v>
      </c>
      <c r="H48" s="46">
        <f t="shared" si="43"/>
        <v>1752.7049999999999</v>
      </c>
      <c r="I48" s="46">
        <f t="shared" si="43"/>
        <v>1638.6849999999999</v>
      </c>
      <c r="J48" s="94">
        <f t="shared" si="43"/>
        <v>1696.73</v>
      </c>
      <c r="K48" s="94">
        <f t="shared" si="43"/>
        <v>1673.5890000000002</v>
      </c>
      <c r="L48" s="94">
        <f t="shared" si="43"/>
        <v>794.40300000000002</v>
      </c>
      <c r="M48" s="94">
        <f t="shared" si="43"/>
        <v>1239.0059999999999</v>
      </c>
      <c r="N48" s="94">
        <f t="shared" si="43"/>
        <v>1051.748</v>
      </c>
      <c r="O48" s="94">
        <f t="shared" si="43"/>
        <v>1858.279</v>
      </c>
      <c r="P48" s="97">
        <f>SUM(D48:O48)</f>
        <v>17157.824999999997</v>
      </c>
      <c r="Q48" s="116"/>
      <c r="R48" s="117" t="s">
        <v>44</v>
      </c>
    </row>
    <row r="49" spans="1:18" ht="6" customHeight="1" thickBot="1">
      <c r="A49" s="107"/>
      <c r="B49" s="105"/>
      <c r="C49" s="48"/>
      <c r="D49" s="108"/>
      <c r="E49" s="108"/>
      <c r="F49" s="108"/>
      <c r="G49" s="108"/>
      <c r="H49" s="108"/>
      <c r="I49" s="108"/>
      <c r="J49" s="108"/>
      <c r="K49" s="108"/>
      <c r="L49" s="108"/>
      <c r="M49" s="108"/>
      <c r="N49" s="108"/>
      <c r="O49" s="108"/>
      <c r="P49" s="106"/>
      <c r="Q49" s="118"/>
      <c r="R49" s="118"/>
    </row>
    <row r="50" spans="1:18" ht="19.5" customHeight="1" thickBot="1">
      <c r="A50" s="107"/>
      <c r="B50" s="105"/>
      <c r="C50" s="109" t="s">
        <v>46</v>
      </c>
      <c r="D50" s="110">
        <f t="shared" ref="D50:P50" si="44">D46/D48</f>
        <v>0.88810381248302472</v>
      </c>
      <c r="E50" s="110">
        <f t="shared" si="44"/>
        <v>0.97489397615596574</v>
      </c>
      <c r="F50" s="110">
        <f t="shared" si="44"/>
        <v>1</v>
      </c>
      <c r="G50" s="110">
        <f t="shared" si="44"/>
        <v>0.86758334926376579</v>
      </c>
      <c r="H50" s="110">
        <f t="shared" si="44"/>
        <v>0.99683232489209539</v>
      </c>
      <c r="I50" s="110">
        <f t="shared" si="44"/>
        <v>0.94132978577334869</v>
      </c>
      <c r="J50" s="110">
        <f t="shared" si="44"/>
        <v>0.74615407283421631</v>
      </c>
      <c r="K50" s="110">
        <f t="shared" si="44"/>
        <v>0.87255293862471606</v>
      </c>
      <c r="L50" s="110">
        <f t="shared" si="44"/>
        <v>0.80350401496469681</v>
      </c>
      <c r="M50" s="110">
        <f t="shared" si="44"/>
        <v>0.7491666707021597</v>
      </c>
      <c r="N50" s="110">
        <f t="shared" si="44"/>
        <v>0.93099677869603736</v>
      </c>
      <c r="O50" s="110">
        <f t="shared" si="44"/>
        <v>0.86739827550114912</v>
      </c>
      <c r="P50" s="110">
        <f t="shared" si="44"/>
        <v>0.8868191626852473</v>
      </c>
      <c r="Q50" s="118"/>
      <c r="R50" s="118"/>
    </row>
    <row r="51" spans="1:18" ht="19.5" customHeight="1">
      <c r="A51" s="107"/>
      <c r="B51" s="105"/>
      <c r="C51" s="48"/>
      <c r="D51" s="108"/>
      <c r="E51" s="108"/>
      <c r="F51" s="108"/>
      <c r="G51" s="108"/>
      <c r="H51" s="108"/>
      <c r="I51" s="108"/>
      <c r="J51" s="108"/>
      <c r="K51" s="108"/>
      <c r="L51" s="108"/>
      <c r="M51" s="108"/>
      <c r="N51" s="108"/>
      <c r="O51" s="108"/>
      <c r="P51" s="106"/>
      <c r="Q51" s="118"/>
      <c r="R51" s="118"/>
    </row>
    <row r="52" spans="1:18" ht="19.5" customHeight="1">
      <c r="A52" s="1" t="s">
        <v>6</v>
      </c>
    </row>
    <row r="53" spans="1:18">
      <c r="A53" s="1" t="s">
        <v>3</v>
      </c>
    </row>
    <row r="56" spans="1:18">
      <c r="C56" s="14"/>
    </row>
    <row r="57" spans="1:18">
      <c r="B57" s="1" t="s">
        <v>12</v>
      </c>
      <c r="C57" s="14"/>
    </row>
    <row r="58" spans="1:18">
      <c r="B58" s="1" t="s">
        <v>11</v>
      </c>
    </row>
  </sheetData>
  <mergeCells count="4">
    <mergeCell ref="B45:B48"/>
    <mergeCell ref="B5:B17"/>
    <mergeCell ref="B18:B30"/>
    <mergeCell ref="B31:B43"/>
  </mergeCells>
  <pageMargins left="0.39370078740157483" right="0.19685039370078741" top="0.59055118110236227" bottom="0.39370078740157483" header="0.51181102362204722" footer="0.51181102362204722"/>
  <pageSetup paperSize="9" scale="3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1"/>
  <sheetViews>
    <sheetView zoomScale="55" zoomScaleNormal="55" workbookViewId="0">
      <pane xSplit="2" ySplit="5" topLeftCell="E6" activePane="bottomRight" state="frozen"/>
      <selection pane="topRight" activeCell="C1" sqref="C1"/>
      <selection pane="bottomLeft" activeCell="A6" sqref="A6"/>
      <selection pane="bottomRight" activeCell="O23" sqref="O23"/>
    </sheetView>
  </sheetViews>
  <sheetFormatPr defaultRowHeight="14.25"/>
  <cols>
    <col min="1" max="1" width="11.375" customWidth="1"/>
    <col min="2" max="2" width="27.375" customWidth="1"/>
    <col min="3" max="14" width="9.25" customWidth="1"/>
    <col min="15" max="15" width="10.625" customWidth="1"/>
  </cols>
  <sheetData>
    <row r="1" spans="1:17" ht="15" thickBot="1">
      <c r="H1">
        <v>1000</v>
      </c>
    </row>
    <row r="2" spans="1:17" ht="24" thickBot="1">
      <c r="A2" s="6" t="s">
        <v>30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34" t="s">
        <v>16</v>
      </c>
      <c r="Q2">
        <v>1000</v>
      </c>
    </row>
    <row r="3" spans="1:17" ht="24" thickBot="1">
      <c r="A3" s="6"/>
      <c r="B3" s="1" t="s">
        <v>61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35">
        <v>0.47</v>
      </c>
    </row>
    <row r="4" spans="1:17" ht="15.75" thickBot="1">
      <c r="A4" s="12"/>
      <c r="B4" s="13"/>
      <c r="C4" s="40">
        <v>41640</v>
      </c>
      <c r="D4" s="40">
        <v>41671</v>
      </c>
      <c r="E4" s="40">
        <v>41699</v>
      </c>
      <c r="F4" s="40">
        <v>41730</v>
      </c>
      <c r="G4" s="40">
        <v>41760</v>
      </c>
      <c r="H4" s="40">
        <v>41791</v>
      </c>
      <c r="I4" s="40">
        <v>41821</v>
      </c>
      <c r="J4" s="40">
        <v>41852</v>
      </c>
      <c r="K4" s="40">
        <v>41883</v>
      </c>
      <c r="L4" s="40">
        <v>41913</v>
      </c>
      <c r="M4" s="40">
        <v>41944</v>
      </c>
      <c r="N4" s="40">
        <v>41974</v>
      </c>
      <c r="O4" s="15" t="s">
        <v>18</v>
      </c>
    </row>
    <row r="5" spans="1:17" ht="15.75" thickBot="1">
      <c r="A5" s="163" t="s">
        <v>51</v>
      </c>
      <c r="B5" s="164"/>
      <c r="C5" s="47">
        <v>21</v>
      </c>
      <c r="D5" s="47">
        <v>23</v>
      </c>
      <c r="E5" s="47">
        <v>26</v>
      </c>
      <c r="F5" s="47">
        <v>20</v>
      </c>
      <c r="G5" s="47">
        <v>25</v>
      </c>
      <c r="H5" s="47">
        <v>23</v>
      </c>
      <c r="I5" s="47">
        <v>26</v>
      </c>
      <c r="J5" s="47">
        <v>26</v>
      </c>
      <c r="K5" s="47">
        <v>20</v>
      </c>
      <c r="L5" s="47">
        <v>27</v>
      </c>
      <c r="M5" s="47">
        <v>21</v>
      </c>
      <c r="N5" s="47">
        <v>26</v>
      </c>
      <c r="O5" s="47">
        <f>SUM(C5:N5)</f>
        <v>284</v>
      </c>
    </row>
    <row r="6" spans="1:17" ht="17.25" customHeight="1">
      <c r="A6" s="213" t="s">
        <v>38</v>
      </c>
      <c r="B6" s="64" t="s">
        <v>2</v>
      </c>
      <c r="C6" s="165">
        <f>C11/(C12-C13)</f>
        <v>0.67486167302870814</v>
      </c>
      <c r="D6" s="165">
        <f t="shared" ref="D6:H6" si="0">D11/(D12-D13)</f>
        <v>0.7710815801746157</v>
      </c>
      <c r="E6" s="165">
        <f t="shared" si="0"/>
        <v>0.56218460887307697</v>
      </c>
      <c r="F6" s="165">
        <f t="shared" si="0"/>
        <v>0.3272872597769117</v>
      </c>
      <c r="G6" s="165">
        <f t="shared" si="0"/>
        <v>0.65900093642523916</v>
      </c>
      <c r="H6" s="165">
        <f t="shared" si="0"/>
        <v>0.69751160257271194</v>
      </c>
      <c r="I6" s="166">
        <f>I11/(I12-I13)</f>
        <v>0.57832309857353026</v>
      </c>
      <c r="J6" s="166">
        <f t="shared" ref="J6:N6" si="1">J11/(J12-J13)</f>
        <v>0.76549076026128315</v>
      </c>
      <c r="K6" s="166">
        <f t="shared" si="1"/>
        <v>0.73269310200071347</v>
      </c>
      <c r="L6" s="166">
        <f t="shared" si="1"/>
        <v>0.4887896275526285</v>
      </c>
      <c r="M6" s="165">
        <f t="shared" si="1"/>
        <v>0.66459201864095119</v>
      </c>
      <c r="N6" s="167">
        <f t="shared" si="1"/>
        <v>0.55037491925130622</v>
      </c>
      <c r="O6" s="168">
        <f t="shared" ref="O6" si="2">O11/(O12-O13)</f>
        <v>0.64036041365108609</v>
      </c>
    </row>
    <row r="7" spans="1:17" ht="17.25" customHeight="1">
      <c r="A7" s="214"/>
      <c r="B7" s="65" t="s">
        <v>52</v>
      </c>
      <c r="C7" s="169">
        <f t="shared" ref="C7:I7" si="3">C11/C12</f>
        <v>0.60561773284686315</v>
      </c>
      <c r="D7" s="170">
        <f t="shared" si="3"/>
        <v>0.6825744649578549</v>
      </c>
      <c r="E7" s="170">
        <f t="shared" si="3"/>
        <v>0.42267056449458229</v>
      </c>
      <c r="F7" s="170">
        <f t="shared" si="3"/>
        <v>0.20917782839709137</v>
      </c>
      <c r="G7" s="171">
        <f t="shared" si="3"/>
        <v>0.48454458961926972</v>
      </c>
      <c r="H7" s="171">
        <f t="shared" si="3"/>
        <v>0.53596321491126231</v>
      </c>
      <c r="I7" s="171">
        <f t="shared" si="3"/>
        <v>0.45120587905026888</v>
      </c>
      <c r="J7" s="171">
        <f t="shared" ref="J7:N7" si="4">J11/J12</f>
        <v>0.64231243699631868</v>
      </c>
      <c r="K7" s="171">
        <f t="shared" si="4"/>
        <v>0.6206593448499409</v>
      </c>
      <c r="L7" s="171">
        <f t="shared" si="4"/>
        <v>0.27902893587452848</v>
      </c>
      <c r="M7" s="170">
        <f t="shared" si="4"/>
        <v>0.5351304308513043</v>
      </c>
      <c r="N7" s="172">
        <f t="shared" si="4"/>
        <v>0.45487537846020759</v>
      </c>
      <c r="O7" s="173">
        <f t="shared" ref="O7" si="5">O11/O12</f>
        <v>0.50377850462644258</v>
      </c>
    </row>
    <row r="8" spans="1:17" ht="17.25" customHeight="1">
      <c r="A8" s="214"/>
      <c r="B8" s="121" t="s">
        <v>33</v>
      </c>
      <c r="C8" s="182">
        <v>827.45699999999999</v>
      </c>
      <c r="D8" s="182">
        <v>1380.8050000000001</v>
      </c>
      <c r="E8" s="182">
        <v>1123.6410000000001</v>
      </c>
      <c r="F8" s="182">
        <v>474.09300000000002</v>
      </c>
      <c r="G8" s="183">
        <v>793.16499999999996</v>
      </c>
      <c r="H8" s="183">
        <v>875.20399999999995</v>
      </c>
      <c r="I8" s="183">
        <v>746.19600000000003</v>
      </c>
      <c r="J8" s="182">
        <v>1075.6949999999999</v>
      </c>
      <c r="K8" s="182">
        <v>703.48099999999999</v>
      </c>
      <c r="L8" s="182">
        <v>269.17200000000003</v>
      </c>
      <c r="M8" s="182">
        <v>275.29399999999998</v>
      </c>
      <c r="N8" s="184">
        <v>273.55200000000002</v>
      </c>
      <c r="O8" s="191">
        <f>SUM(C8:N8)</f>
        <v>8817.7549999999992</v>
      </c>
    </row>
    <row r="9" spans="1:17" ht="17.25" customHeight="1">
      <c r="A9" s="214"/>
      <c r="B9" s="121" t="s">
        <v>41</v>
      </c>
      <c r="C9" s="182">
        <f t="shared" ref="C9:N9" si="6">((C8/C5)*1000)/1000</f>
        <v>39.402714285714282</v>
      </c>
      <c r="D9" s="182">
        <f t="shared" si="6"/>
        <v>60.035000000000011</v>
      </c>
      <c r="E9" s="182">
        <f t="shared" si="6"/>
        <v>43.21696153846154</v>
      </c>
      <c r="F9" s="182">
        <f t="shared" si="6"/>
        <v>23.704650000000001</v>
      </c>
      <c r="G9" s="183">
        <f t="shared" si="6"/>
        <v>31.726599999999998</v>
      </c>
      <c r="H9" s="182">
        <f t="shared" si="6"/>
        <v>38.052347826086951</v>
      </c>
      <c r="I9" s="183">
        <f t="shared" si="6"/>
        <v>28.699846153846156</v>
      </c>
      <c r="J9" s="183">
        <f t="shared" si="6"/>
        <v>41.372884615384621</v>
      </c>
      <c r="K9" s="183">
        <f t="shared" si="6"/>
        <v>35.174050000000001</v>
      </c>
      <c r="L9" s="183">
        <f t="shared" si="6"/>
        <v>9.9693333333333349</v>
      </c>
      <c r="M9" s="182">
        <f t="shared" si="6"/>
        <v>13.109238095238094</v>
      </c>
      <c r="N9" s="184">
        <f t="shared" si="6"/>
        <v>10.521230769230771</v>
      </c>
      <c r="O9" s="191">
        <f>((O8/O$5)*1000)/1000</f>
        <v>31.048433098591545</v>
      </c>
    </row>
    <row r="10" spans="1:17" ht="17.25" customHeight="1">
      <c r="A10" s="214"/>
      <c r="B10" s="65" t="s">
        <v>31</v>
      </c>
      <c r="C10" s="174">
        <f t="shared" ref="C10:O10" si="7">C9*1.7/102.13</f>
        <v>0.65587598438964334</v>
      </c>
      <c r="D10" s="174">
        <f t="shared" si="7"/>
        <v>0.99930970331929914</v>
      </c>
      <c r="E10" s="174">
        <f t="shared" si="7"/>
        <v>0.71936585347483228</v>
      </c>
      <c r="F10" s="174">
        <f t="shared" si="7"/>
        <v>0.39457461079016942</v>
      </c>
      <c r="G10" s="175">
        <f t="shared" si="7"/>
        <v>0.52810359345931657</v>
      </c>
      <c r="H10" s="174">
        <f t="shared" si="7"/>
        <v>0.63339852447221978</v>
      </c>
      <c r="I10" s="175">
        <f t="shared" si="7"/>
        <v>0.47772190797550634</v>
      </c>
      <c r="J10" s="175">
        <f t="shared" si="7"/>
        <v>0.68867035979784452</v>
      </c>
      <c r="K10" s="175">
        <f t="shared" si="7"/>
        <v>0.58548795652599628</v>
      </c>
      <c r="L10" s="175">
        <f t="shared" si="7"/>
        <v>0.16594405822644345</v>
      </c>
      <c r="M10" s="174">
        <f t="shared" si="7"/>
        <v>0.21820919183300461</v>
      </c>
      <c r="N10" s="176">
        <f t="shared" si="7"/>
        <v>0.17513064043564389</v>
      </c>
      <c r="O10" s="177">
        <f t="shared" si="7"/>
        <v>0.51681519893866268</v>
      </c>
    </row>
    <row r="11" spans="1:17" ht="17.25" customHeight="1">
      <c r="A11" s="214"/>
      <c r="B11" s="65" t="s">
        <v>34</v>
      </c>
      <c r="C11" s="185">
        <v>1195.1260339999999</v>
      </c>
      <c r="D11" s="185">
        <v>1068.1130000000001</v>
      </c>
      <c r="E11" s="185">
        <v>703.976</v>
      </c>
      <c r="F11" s="185">
        <v>292.24134000000004</v>
      </c>
      <c r="G11" s="186">
        <v>774.11522000000002</v>
      </c>
      <c r="H11" s="185">
        <v>934.81899999999996</v>
      </c>
      <c r="I11" s="186">
        <v>723.274</v>
      </c>
      <c r="J11" s="185">
        <v>922.63300000000004</v>
      </c>
      <c r="K11" s="185">
        <v>651.02200000000005</v>
      </c>
      <c r="L11" s="185">
        <v>224.875</v>
      </c>
      <c r="M11" s="185">
        <v>473.46199999999999</v>
      </c>
      <c r="N11" s="187">
        <v>403.84199999999998</v>
      </c>
      <c r="O11" s="192">
        <f>SUM(C11:N11)</f>
        <v>8367.4985940000006</v>
      </c>
    </row>
    <row r="12" spans="1:17" ht="17.25" customHeight="1">
      <c r="A12" s="214"/>
      <c r="B12" s="65" t="s">
        <v>35</v>
      </c>
      <c r="C12" s="185">
        <v>1973.4</v>
      </c>
      <c r="D12" s="185">
        <v>1564.83</v>
      </c>
      <c r="E12" s="185">
        <v>1665.5429999999999</v>
      </c>
      <c r="F12" s="185">
        <v>1397.0952</v>
      </c>
      <c r="G12" s="186">
        <v>1597.614</v>
      </c>
      <c r="H12" s="185">
        <v>1744.1849999999999</v>
      </c>
      <c r="I12" s="186">
        <v>1602.98</v>
      </c>
      <c r="J12" s="185">
        <v>1436.424</v>
      </c>
      <c r="K12" s="185">
        <v>1048.92</v>
      </c>
      <c r="L12" s="185">
        <v>805.92</v>
      </c>
      <c r="M12" s="185">
        <v>884.76</v>
      </c>
      <c r="N12" s="187">
        <v>887.80799999999999</v>
      </c>
      <c r="O12" s="192">
        <f>SUM(C12:N12)</f>
        <v>16609.479199999998</v>
      </c>
    </row>
    <row r="13" spans="1:17" ht="17.25" customHeight="1">
      <c r="A13" s="214"/>
      <c r="B13" s="65" t="s">
        <v>36</v>
      </c>
      <c r="C13" s="174">
        <v>202.48</v>
      </c>
      <c r="D13" s="174">
        <v>179.61600000000001</v>
      </c>
      <c r="E13" s="174">
        <v>413.32799999999997</v>
      </c>
      <c r="F13" s="174">
        <v>504.17519999999996</v>
      </c>
      <c r="G13" s="175">
        <v>422.93400000000003</v>
      </c>
      <c r="H13" s="174">
        <v>403.96499999999997</v>
      </c>
      <c r="I13" s="175">
        <v>352.34</v>
      </c>
      <c r="J13" s="174">
        <v>231.14099999999999</v>
      </c>
      <c r="K13" s="174">
        <v>160.387</v>
      </c>
      <c r="L13" s="174">
        <v>345.85500000000002</v>
      </c>
      <c r="M13" s="174">
        <v>172.35</v>
      </c>
      <c r="N13" s="176">
        <v>154.05000000000001</v>
      </c>
      <c r="O13" s="177">
        <f>SUM(C13:N13)</f>
        <v>3542.6212000000005</v>
      </c>
    </row>
    <row r="14" spans="1:17" ht="17.25" customHeight="1">
      <c r="A14" s="214"/>
      <c r="B14" s="53" t="s">
        <v>40</v>
      </c>
      <c r="C14" s="188">
        <v>737.44500000000005</v>
      </c>
      <c r="D14" s="188">
        <v>856.6</v>
      </c>
      <c r="E14" s="188">
        <v>1212.72</v>
      </c>
      <c r="F14" s="188">
        <v>929.10299999999995</v>
      </c>
      <c r="G14" s="189">
        <v>1250.0150000000001</v>
      </c>
      <c r="H14" s="189">
        <v>789.00800000000004</v>
      </c>
      <c r="I14" s="189">
        <v>727</v>
      </c>
      <c r="J14" s="188">
        <v>1075.6949999999999</v>
      </c>
      <c r="K14" s="188">
        <v>703.48099999999999</v>
      </c>
      <c r="L14" s="188">
        <v>660.46699999999998</v>
      </c>
      <c r="M14" s="188">
        <v>361.80500000000001</v>
      </c>
      <c r="N14" s="190">
        <v>310.48099999999999</v>
      </c>
      <c r="O14" s="193">
        <f>SUM(C14:N14)</f>
        <v>9613.8200000000015</v>
      </c>
    </row>
    <row r="15" spans="1:17" ht="17.25" customHeight="1">
      <c r="A15" s="214"/>
      <c r="B15" s="53" t="s">
        <v>50</v>
      </c>
      <c r="C15" s="188">
        <v>202.66824</v>
      </c>
      <c r="D15" s="188">
        <v>283.29227000000003</v>
      </c>
      <c r="E15" s="188">
        <v>304.68536</v>
      </c>
      <c r="F15" s="188">
        <v>272.43930999999998</v>
      </c>
      <c r="G15" s="189">
        <v>286.98975999999999</v>
      </c>
      <c r="H15" s="189">
        <v>186.31774999999999</v>
      </c>
      <c r="I15" s="189">
        <v>214.47181</v>
      </c>
      <c r="J15" s="188">
        <v>411.48599999999999</v>
      </c>
      <c r="K15" s="188">
        <v>303.65899999999999</v>
      </c>
      <c r="L15" s="188">
        <v>225.68</v>
      </c>
      <c r="M15" s="188">
        <v>100.864</v>
      </c>
      <c r="N15" s="190">
        <v>148.524</v>
      </c>
      <c r="O15" s="193">
        <f>SUM(C15:N15)</f>
        <v>2941.0774999999999</v>
      </c>
    </row>
    <row r="16" spans="1:17" ht="17.25" customHeight="1" thickBot="1">
      <c r="A16" s="215"/>
      <c r="B16" s="54" t="s">
        <v>32</v>
      </c>
      <c r="C16" s="178">
        <f t="shared" ref="C16:O16" si="8">C15/C14</f>
        <v>0.27482488863576265</v>
      </c>
      <c r="D16" s="178">
        <f t="shared" si="8"/>
        <v>0.33071710249824893</v>
      </c>
      <c r="E16" s="178">
        <f t="shared" si="8"/>
        <v>0.25124130879345602</v>
      </c>
      <c r="F16" s="178">
        <f t="shared" si="8"/>
        <v>0.29322831806591948</v>
      </c>
      <c r="G16" s="179">
        <f t="shared" si="8"/>
        <v>0.22958905293136481</v>
      </c>
      <c r="H16" s="179">
        <f t="shared" si="8"/>
        <v>0.23614177549530546</v>
      </c>
      <c r="I16" s="179">
        <f t="shared" si="8"/>
        <v>0.29500936726272353</v>
      </c>
      <c r="J16" s="179">
        <f t="shared" si="8"/>
        <v>0.38253036409019286</v>
      </c>
      <c r="K16" s="179">
        <f t="shared" si="8"/>
        <v>0.43165202756009047</v>
      </c>
      <c r="L16" s="179">
        <f t="shared" si="8"/>
        <v>0.34169761698919099</v>
      </c>
      <c r="M16" s="178">
        <f t="shared" si="8"/>
        <v>0.27878000580423157</v>
      </c>
      <c r="N16" s="180">
        <f t="shared" si="8"/>
        <v>0.47836743633265805</v>
      </c>
      <c r="O16" s="181">
        <f t="shared" si="8"/>
        <v>0.30592183960173991</v>
      </c>
    </row>
    <row r="17" spans="1:15" ht="17.25" customHeight="1">
      <c r="A17" s="213" t="s">
        <v>37</v>
      </c>
      <c r="B17" s="64" t="s">
        <v>2</v>
      </c>
      <c r="C17" s="165">
        <f>C22/(C23-C24)</f>
        <v>0.50000025683343896</v>
      </c>
      <c r="D17" s="165">
        <f t="shared" ref="D17:H17" si="9">D22/(D23-D24)</f>
        <v>0.5328360463246723</v>
      </c>
      <c r="E17" s="165">
        <f t="shared" si="9"/>
        <v>0.54140550907204588</v>
      </c>
      <c r="F17" s="165">
        <f t="shared" si="9"/>
        <v>0.51166438633442113</v>
      </c>
      <c r="G17" s="165">
        <f t="shared" si="9"/>
        <v>0.50655691677442216</v>
      </c>
      <c r="H17" s="165">
        <f t="shared" si="9"/>
        <v>0.52369340647739537</v>
      </c>
      <c r="I17" s="166">
        <f>I22/(I23-I24)</f>
        <v>0.47548237746101457</v>
      </c>
      <c r="J17" s="166">
        <f t="shared" ref="J17:N17" si="10">J22/(J23-J24)</f>
        <v>0.46840043080859872</v>
      </c>
      <c r="K17" s="166">
        <f t="shared" si="10"/>
        <v>0.41117535713583847</v>
      </c>
      <c r="L17" s="166">
        <f t="shared" si="10"/>
        <v>0.45331517568993995</v>
      </c>
      <c r="M17" s="165">
        <f t="shared" si="10"/>
        <v>0.66301670807027013</v>
      </c>
      <c r="N17" s="167">
        <f t="shared" si="10"/>
        <v>0.53841675053850435</v>
      </c>
      <c r="O17" s="168">
        <f t="shared" ref="O17" si="11">O22/(O23-O24)</f>
        <v>0.50711497905593195</v>
      </c>
    </row>
    <row r="18" spans="1:15" ht="17.25" customHeight="1">
      <c r="A18" s="214"/>
      <c r="B18" s="65" t="s">
        <v>52</v>
      </c>
      <c r="C18" s="169">
        <f t="shared" ref="C18:I18" si="12">C22/C23</f>
        <v>0.46670096385322662</v>
      </c>
      <c r="D18" s="170">
        <f t="shared" si="12"/>
        <v>0.52276893587221773</v>
      </c>
      <c r="E18" s="170">
        <f t="shared" si="12"/>
        <v>0.52673867264987406</v>
      </c>
      <c r="F18" s="170">
        <f t="shared" si="12"/>
        <v>0.48663043835146308</v>
      </c>
      <c r="G18" s="171">
        <f t="shared" si="12"/>
        <v>0.48323086791624487</v>
      </c>
      <c r="H18" s="171">
        <f t="shared" si="12"/>
        <v>0.49711182722051617</v>
      </c>
      <c r="I18" s="171">
        <f t="shared" si="12"/>
        <v>0.45122769244679534</v>
      </c>
      <c r="J18" s="171">
        <f t="shared" ref="J18:N18" si="13">J22/J23</f>
        <v>0.43589736764822001</v>
      </c>
      <c r="K18" s="171">
        <f t="shared" si="13"/>
        <v>0.38694452689212933</v>
      </c>
      <c r="L18" s="171">
        <f t="shared" si="13"/>
        <v>0.4263307891450534</v>
      </c>
      <c r="M18" s="170">
        <f t="shared" si="13"/>
        <v>0.62841727069497888</v>
      </c>
      <c r="N18" s="172">
        <f t="shared" si="13"/>
        <v>0.50977479433145201</v>
      </c>
      <c r="O18" s="173">
        <f t="shared" ref="O18" si="14">O22/O23</f>
        <v>0.48134135123595773</v>
      </c>
    </row>
    <row r="19" spans="1:15" ht="17.25" customHeight="1">
      <c r="A19" s="214"/>
      <c r="B19" s="121" t="s">
        <v>33</v>
      </c>
      <c r="C19" s="182">
        <v>405.04599999999999</v>
      </c>
      <c r="D19" s="182">
        <v>508.73599999999999</v>
      </c>
      <c r="E19" s="182">
        <v>747.76700000000005</v>
      </c>
      <c r="F19" s="182">
        <v>457.37</v>
      </c>
      <c r="G19" s="183">
        <v>901.00199999999995</v>
      </c>
      <c r="H19" s="182">
        <v>1177.5730000000001</v>
      </c>
      <c r="I19" s="183">
        <v>974.76700000000005</v>
      </c>
      <c r="J19" s="183">
        <v>677.30799999999999</v>
      </c>
      <c r="K19" s="182">
        <v>381.09399999999999</v>
      </c>
      <c r="L19" s="182">
        <v>408.41</v>
      </c>
      <c r="M19" s="182">
        <v>560.76900000000001</v>
      </c>
      <c r="N19" s="184">
        <v>356.73099999999999</v>
      </c>
      <c r="O19" s="191">
        <f>SUM(C19:N19)</f>
        <v>7556.5729999999994</v>
      </c>
    </row>
    <row r="20" spans="1:15" ht="17.25" customHeight="1">
      <c r="A20" s="214"/>
      <c r="B20" s="121" t="s">
        <v>41</v>
      </c>
      <c r="C20" s="182">
        <f t="shared" ref="C20:N20" si="15">((C19/C5)*1000)/1000</f>
        <v>19.287904761904763</v>
      </c>
      <c r="D20" s="182">
        <f t="shared" si="15"/>
        <v>22.118956521739129</v>
      </c>
      <c r="E20" s="182">
        <f t="shared" si="15"/>
        <v>28.760269230769232</v>
      </c>
      <c r="F20" s="182">
        <f t="shared" si="15"/>
        <v>22.868500000000001</v>
      </c>
      <c r="G20" s="183">
        <f t="shared" si="15"/>
        <v>36.040079999999996</v>
      </c>
      <c r="H20" s="183">
        <f t="shared" si="15"/>
        <v>51.198826086956522</v>
      </c>
      <c r="I20" s="183">
        <f t="shared" si="15"/>
        <v>37.491038461538466</v>
      </c>
      <c r="J20" s="183">
        <f t="shared" si="15"/>
        <v>26.05030769230769</v>
      </c>
      <c r="K20" s="183">
        <f t="shared" si="15"/>
        <v>19.0547</v>
      </c>
      <c r="L20" s="183">
        <f t="shared" si="15"/>
        <v>15.126296296296298</v>
      </c>
      <c r="M20" s="182">
        <f t="shared" si="15"/>
        <v>26.703285714285716</v>
      </c>
      <c r="N20" s="184">
        <f t="shared" si="15"/>
        <v>13.720423076923076</v>
      </c>
      <c r="O20" s="191">
        <f>((O19/O$5)*1000)/1000</f>
        <v>26.607651408450703</v>
      </c>
    </row>
    <row r="21" spans="1:15" ht="17.25" hidden="1" customHeight="1">
      <c r="A21" s="214"/>
      <c r="B21" s="65" t="s">
        <v>31</v>
      </c>
      <c r="C21" s="175">
        <f t="shared" ref="C21:H21" si="16">C20*1.3/70</f>
        <v>0.35820394557823132</v>
      </c>
      <c r="D21" s="175">
        <f t="shared" si="16"/>
        <v>0.41078062111801239</v>
      </c>
      <c r="E21" s="175">
        <f t="shared" si="16"/>
        <v>0.5341192857142858</v>
      </c>
      <c r="F21" s="175">
        <f t="shared" si="16"/>
        <v>0.42470071428571432</v>
      </c>
      <c r="G21" s="175">
        <f t="shared" si="16"/>
        <v>0.66931577142857135</v>
      </c>
      <c r="H21" s="175">
        <f t="shared" si="16"/>
        <v>0.9508353416149069</v>
      </c>
      <c r="I21" s="175">
        <f>I20*1.3/70</f>
        <v>0.69626214285714294</v>
      </c>
      <c r="J21" s="175">
        <f t="shared" ref="J21:O21" si="17">J20*1.3/70</f>
        <v>0.48379142857142859</v>
      </c>
      <c r="K21" s="175">
        <f t="shared" si="17"/>
        <v>0.35387299999999999</v>
      </c>
      <c r="L21" s="175">
        <f t="shared" si="17"/>
        <v>0.28091693121693123</v>
      </c>
      <c r="M21" s="174">
        <f t="shared" si="17"/>
        <v>0.49591816326530613</v>
      </c>
      <c r="N21" s="176">
        <f t="shared" si="17"/>
        <v>0.25480785714285714</v>
      </c>
      <c r="O21" s="177">
        <f t="shared" si="17"/>
        <v>0.49414209758551308</v>
      </c>
    </row>
    <row r="22" spans="1:15" ht="17.25" customHeight="1">
      <c r="A22" s="214"/>
      <c r="B22" s="65" t="s">
        <v>34</v>
      </c>
      <c r="C22" s="185">
        <v>973.39400000000001</v>
      </c>
      <c r="D22" s="185">
        <v>1093.6300000000001</v>
      </c>
      <c r="E22" s="185">
        <v>1336.9760000000001</v>
      </c>
      <c r="F22" s="185">
        <v>942.62671200000011</v>
      </c>
      <c r="G22" s="186">
        <v>1428.2475910000001</v>
      </c>
      <c r="H22" s="185">
        <v>1770.941</v>
      </c>
      <c r="I22" s="186">
        <v>1596.9670000000001</v>
      </c>
      <c r="J22" s="185">
        <v>1473.8879999999999</v>
      </c>
      <c r="K22" s="185">
        <v>857.81500000000005</v>
      </c>
      <c r="L22" s="185">
        <v>1107.1379999999999</v>
      </c>
      <c r="M22" s="185">
        <v>1303.7660000000001</v>
      </c>
      <c r="N22" s="187">
        <v>1144.8140000000001</v>
      </c>
      <c r="O22" s="192">
        <f>SUM(C22:N22)</f>
        <v>15030.203303</v>
      </c>
    </row>
    <row r="23" spans="1:15" ht="17.25" customHeight="1">
      <c r="A23" s="214"/>
      <c r="B23" s="65" t="s">
        <v>35</v>
      </c>
      <c r="C23" s="185">
        <v>2085.6909999999998</v>
      </c>
      <c r="D23" s="185">
        <v>2091.9949999999999</v>
      </c>
      <c r="E23" s="185">
        <v>2538.2150000000001</v>
      </c>
      <c r="F23" s="185">
        <v>1937.0483999999999</v>
      </c>
      <c r="G23" s="186">
        <v>2955.6215999999995</v>
      </c>
      <c r="H23" s="185">
        <v>3562.46</v>
      </c>
      <c r="I23" s="186">
        <v>3539.16</v>
      </c>
      <c r="J23" s="185">
        <v>3381.2730000000001</v>
      </c>
      <c r="K23" s="185">
        <v>2216.8939999999998</v>
      </c>
      <c r="L23" s="185">
        <v>2596.8989999999999</v>
      </c>
      <c r="M23" s="185">
        <v>2074.6819999999998</v>
      </c>
      <c r="N23" s="187">
        <v>2245.7249999999999</v>
      </c>
      <c r="O23" s="192">
        <f>SUM(C23:N23)</f>
        <v>31225.664000000001</v>
      </c>
    </row>
    <row r="24" spans="1:15" ht="17.25" hidden="1" customHeight="1">
      <c r="A24" s="214"/>
      <c r="B24" s="65" t="s">
        <v>36</v>
      </c>
      <c r="C24" s="174">
        <v>138.904</v>
      </c>
      <c r="D24" s="174">
        <v>39.524999999999999</v>
      </c>
      <c r="E24" s="174">
        <v>68.760999999999996</v>
      </c>
      <c r="F24" s="174">
        <v>94.772999999999996</v>
      </c>
      <c r="G24" s="175">
        <v>136.10114000000002</v>
      </c>
      <c r="H24" s="174">
        <v>180.82300000000001</v>
      </c>
      <c r="I24" s="175">
        <v>180.535</v>
      </c>
      <c r="J24" s="174">
        <v>234.63200000000001</v>
      </c>
      <c r="K24" s="174">
        <v>130.643</v>
      </c>
      <c r="L24" s="174">
        <v>154.58500000000001</v>
      </c>
      <c r="M24" s="174">
        <v>108.267</v>
      </c>
      <c r="N24" s="176">
        <v>119.465</v>
      </c>
      <c r="O24" s="177">
        <f>SUM(C24:N24)</f>
        <v>1587.01414</v>
      </c>
    </row>
    <row r="25" spans="1:15" ht="17.25" customHeight="1">
      <c r="A25" s="214"/>
      <c r="B25" s="53" t="s">
        <v>40</v>
      </c>
      <c r="C25" s="188">
        <v>360.48099999999999</v>
      </c>
      <c r="D25" s="188">
        <v>412.35399999999998</v>
      </c>
      <c r="E25" s="188">
        <v>565.02300000000002</v>
      </c>
      <c r="F25" s="188">
        <v>338.46800000000002</v>
      </c>
      <c r="G25" s="189">
        <v>655.17399999999998</v>
      </c>
      <c r="H25" s="188">
        <v>900.25699999999995</v>
      </c>
      <c r="I25" s="189">
        <v>923.02599999999995</v>
      </c>
      <c r="J25" s="188">
        <v>1081.165</v>
      </c>
      <c r="K25" s="188">
        <v>780.29</v>
      </c>
      <c r="L25" s="189">
        <v>465.72500000000002</v>
      </c>
      <c r="M25" s="188">
        <v>275.93799999999999</v>
      </c>
      <c r="N25" s="190">
        <v>860.95100000000002</v>
      </c>
      <c r="O25" s="193">
        <f>SUM(C25:N25)</f>
        <v>7618.8520000000008</v>
      </c>
    </row>
    <row r="26" spans="1:15" ht="17.25" customHeight="1">
      <c r="A26" s="214"/>
      <c r="B26" s="53" t="s">
        <v>50</v>
      </c>
      <c r="C26" s="188">
        <v>156.63460000000001</v>
      </c>
      <c r="D26" s="188">
        <v>156.92272</v>
      </c>
      <c r="E26" s="188">
        <v>242.83545999999998</v>
      </c>
      <c r="F26" s="188">
        <v>137.89750999999998</v>
      </c>
      <c r="G26" s="189">
        <v>182.99807999999993</v>
      </c>
      <c r="H26" s="188">
        <v>269.28185999999999</v>
      </c>
      <c r="I26" s="189">
        <v>309.53910000000002</v>
      </c>
      <c r="J26" s="188">
        <v>439.00400000000002</v>
      </c>
      <c r="K26" s="188">
        <v>365.15300000000002</v>
      </c>
      <c r="L26" s="188">
        <v>212.07599999999999</v>
      </c>
      <c r="M26" s="188">
        <v>104.425</v>
      </c>
      <c r="N26" s="190">
        <v>180.965</v>
      </c>
      <c r="O26" s="193">
        <f>SUM(C26:N26)</f>
        <v>2757.7323300000007</v>
      </c>
    </row>
    <row r="27" spans="1:15" ht="17.25" customHeight="1" thickBot="1">
      <c r="A27" s="215"/>
      <c r="B27" s="54" t="s">
        <v>32</v>
      </c>
      <c r="C27" s="178">
        <f t="shared" ref="C27:K27" si="18">C26/C25</f>
        <v>0.43451555005672976</v>
      </c>
      <c r="D27" s="178">
        <f t="shared" si="18"/>
        <v>0.38055340799410214</v>
      </c>
      <c r="E27" s="178">
        <f t="shared" si="18"/>
        <v>0.42977977887625807</v>
      </c>
      <c r="F27" s="178">
        <f t="shared" si="18"/>
        <v>0.40741668340877124</v>
      </c>
      <c r="G27" s="179">
        <f t="shared" si="18"/>
        <v>0.27931218271787334</v>
      </c>
      <c r="H27" s="179">
        <f t="shared" si="18"/>
        <v>0.299116652244859</v>
      </c>
      <c r="I27" s="179">
        <f t="shared" si="18"/>
        <v>0.33535252528097803</v>
      </c>
      <c r="J27" s="179">
        <f t="shared" si="18"/>
        <v>0.40604718058760692</v>
      </c>
      <c r="K27" s="179">
        <f t="shared" si="18"/>
        <v>0.46797088262056419</v>
      </c>
      <c r="L27" s="179">
        <f>L26/L25</f>
        <v>0.45536743786569323</v>
      </c>
      <c r="M27" s="178">
        <f>M26/M25</f>
        <v>0.37843646036428474</v>
      </c>
      <c r="N27" s="180">
        <f>N26/N25</f>
        <v>0.21019198537431283</v>
      </c>
      <c r="O27" s="181">
        <f t="shared" ref="O27" si="19">O26/O25</f>
        <v>0.36196166167816363</v>
      </c>
    </row>
    <row r="28" spans="1:15" ht="17.25" customHeight="1">
      <c r="A28" s="210" t="s">
        <v>39</v>
      </c>
      <c r="B28" s="64" t="s">
        <v>2</v>
      </c>
      <c r="C28" s="165">
        <f>C33/(C34-C35)</f>
        <v>0.4960031867954911</v>
      </c>
      <c r="D28" s="165">
        <f t="shared" ref="D28:H28" si="20">D33/(D34-D35)</f>
        <v>0.7636860725034762</v>
      </c>
      <c r="E28" s="165">
        <f t="shared" si="20"/>
        <v>0.72536431899801146</v>
      </c>
      <c r="F28" s="165">
        <f t="shared" si="20"/>
        <v>0.55773353893089284</v>
      </c>
      <c r="G28" s="165">
        <f t="shared" si="20"/>
        <v>0.45303244872810494</v>
      </c>
      <c r="H28" s="165">
        <f t="shared" si="20"/>
        <v>0.57196847294722009</v>
      </c>
      <c r="I28" s="166">
        <f>I33/(I34-I35)</f>
        <v>0.57137677518756702</v>
      </c>
      <c r="J28" s="166">
        <f t="shared" ref="J28:N28" si="21">J33/(J34-J35)</f>
        <v>0.54824869990822889</v>
      </c>
      <c r="K28" s="166">
        <f t="shared" si="21"/>
        <v>0.56351142082849404</v>
      </c>
      <c r="L28" s="166">
        <f t="shared" si="21"/>
        <v>0.53414242418743085</v>
      </c>
      <c r="M28" s="165">
        <f t="shared" si="21"/>
        <v>0.45094161299355928</v>
      </c>
      <c r="N28" s="167">
        <f t="shared" si="21"/>
        <v>0.37646928251886763</v>
      </c>
      <c r="O28" s="168">
        <f t="shared" ref="O28" si="22">O33/(O34-O35)</f>
        <v>0.55316379610917032</v>
      </c>
    </row>
    <row r="29" spans="1:15" ht="17.25" customHeight="1">
      <c r="A29" s="211"/>
      <c r="B29" s="65" t="s">
        <v>52</v>
      </c>
      <c r="C29" s="169">
        <f t="shared" ref="C29:I29" si="23">C33/C34</f>
        <v>0.4960031867954911</v>
      </c>
      <c r="D29" s="170">
        <f t="shared" si="23"/>
        <v>0.73352267604363908</v>
      </c>
      <c r="E29" s="170">
        <f t="shared" si="23"/>
        <v>0.68974402393249234</v>
      </c>
      <c r="F29" s="170">
        <f t="shared" si="23"/>
        <v>0.39800777604240628</v>
      </c>
      <c r="G29" s="171">
        <f t="shared" si="23"/>
        <v>0.27037726675772222</v>
      </c>
      <c r="H29" s="171">
        <f t="shared" si="23"/>
        <v>0.42020255052349642</v>
      </c>
      <c r="I29" s="171">
        <f t="shared" si="23"/>
        <v>0.43148625918478328</v>
      </c>
      <c r="J29" s="171">
        <f t="shared" ref="J29:N29" si="24">J33/J34</f>
        <v>0.54824869990822889</v>
      </c>
      <c r="K29" s="171">
        <f t="shared" si="24"/>
        <v>0.53331501328203723</v>
      </c>
      <c r="L29" s="171">
        <f t="shared" si="24"/>
        <v>0.51480331625067777</v>
      </c>
      <c r="M29" s="170">
        <f t="shared" si="24"/>
        <v>0.41449485199485203</v>
      </c>
      <c r="N29" s="172">
        <f t="shared" si="24"/>
        <v>0.35864890363719176</v>
      </c>
      <c r="O29" s="173">
        <f t="shared" ref="O29" si="25">O33/O34</f>
        <v>0.48168231825881103</v>
      </c>
    </row>
    <row r="30" spans="1:15" ht="17.25" customHeight="1">
      <c r="A30" s="211"/>
      <c r="B30" s="121" t="s">
        <v>33</v>
      </c>
      <c r="C30" s="182">
        <v>984.08299999999997</v>
      </c>
      <c r="D30" s="182">
        <v>1140.7139999999999</v>
      </c>
      <c r="E30" s="182">
        <v>1240.1669999999999</v>
      </c>
      <c r="F30" s="182">
        <v>620.80200000000002</v>
      </c>
      <c r="G30" s="183">
        <v>720.803</v>
      </c>
      <c r="H30" s="182">
        <v>1053.1130000000001</v>
      </c>
      <c r="I30" s="183">
        <v>1290.865</v>
      </c>
      <c r="J30" s="182">
        <v>1250.6769999999999</v>
      </c>
      <c r="K30" s="182">
        <v>797.33</v>
      </c>
      <c r="L30" s="182">
        <v>1041.9169999999999</v>
      </c>
      <c r="M30" s="182">
        <v>731.18299999999999</v>
      </c>
      <c r="N30" s="184">
        <v>479.64800000000002</v>
      </c>
      <c r="O30" s="191">
        <f>SUM(C30:N30)</f>
        <v>11351.301999999998</v>
      </c>
    </row>
    <row r="31" spans="1:15" ht="17.25" customHeight="1">
      <c r="A31" s="211"/>
      <c r="B31" s="121" t="s">
        <v>41</v>
      </c>
      <c r="C31" s="182">
        <f t="shared" ref="C31:K31" si="26">((C30/C5)*1000)/1000</f>
        <v>46.861095238095238</v>
      </c>
      <c r="D31" s="182">
        <f t="shared" si="26"/>
        <v>49.596260869565214</v>
      </c>
      <c r="E31" s="182">
        <f t="shared" si="26"/>
        <v>47.698730769230764</v>
      </c>
      <c r="F31" s="182">
        <f t="shared" si="26"/>
        <v>31.040100000000002</v>
      </c>
      <c r="G31" s="183">
        <f t="shared" si="26"/>
        <v>28.83212</v>
      </c>
      <c r="H31" s="183">
        <f t="shared" si="26"/>
        <v>45.78752173913044</v>
      </c>
      <c r="I31" s="183">
        <f t="shared" si="26"/>
        <v>49.648653846153849</v>
      </c>
      <c r="J31" s="183">
        <f t="shared" si="26"/>
        <v>48.102961538461543</v>
      </c>
      <c r="K31" s="183">
        <f t="shared" si="26"/>
        <v>39.866500000000002</v>
      </c>
      <c r="L31" s="183">
        <f>((L30/L5)*1000)/1000</f>
        <v>38.589518518518517</v>
      </c>
      <c r="M31" s="182">
        <f>((M30/M5)*1000)/1000</f>
        <v>34.818238095238094</v>
      </c>
      <c r="N31" s="184">
        <f>((N30/N5)*1000)/1000</f>
        <v>18.448</v>
      </c>
      <c r="O31" s="191">
        <f>((O30/O$5)*1000)/1000</f>
        <v>39.969373239436614</v>
      </c>
    </row>
    <row r="32" spans="1:15" ht="17.25" hidden="1" customHeight="1">
      <c r="A32" s="211"/>
      <c r="B32" s="65" t="s">
        <v>31</v>
      </c>
      <c r="C32" s="174">
        <f t="shared" ref="C32:G32" si="27">C31*2.5/316</f>
        <v>0.37073651295961424</v>
      </c>
      <c r="D32" s="174">
        <f t="shared" si="27"/>
        <v>0.39237548156301594</v>
      </c>
      <c r="E32" s="174">
        <f t="shared" si="27"/>
        <v>0.37736337633885098</v>
      </c>
      <c r="F32" s="174">
        <f t="shared" si="27"/>
        <v>0.24557041139240507</v>
      </c>
      <c r="G32" s="175">
        <f t="shared" si="27"/>
        <v>0.22810221518987339</v>
      </c>
      <c r="H32" s="175">
        <f>H31*2.5/316</f>
        <v>0.36224305173362692</v>
      </c>
      <c r="I32" s="175">
        <f>I31*2.5/316</f>
        <v>0.39278998296007794</v>
      </c>
      <c r="J32" s="175">
        <f t="shared" ref="J32:K32" si="28">J31*2.5/316</f>
        <v>0.38056140457643628</v>
      </c>
      <c r="K32" s="175">
        <f t="shared" si="28"/>
        <v>0.31539952531645571</v>
      </c>
      <c r="L32" s="175">
        <f>L31*2.5/316</f>
        <v>0.30529682372245659</v>
      </c>
      <c r="M32" s="174">
        <f>M31*2.5/316</f>
        <v>0.27546074442435198</v>
      </c>
      <c r="N32" s="176">
        <f>N31*2.5/316</f>
        <v>0.14594936708860762</v>
      </c>
      <c r="O32" s="177">
        <f>O31*2.5/316</f>
        <v>0.31621339588161879</v>
      </c>
    </row>
    <row r="33" spans="1:17" ht="17.25" customHeight="1">
      <c r="A33" s="211"/>
      <c r="B33" s="65" t="s">
        <v>34</v>
      </c>
      <c r="C33" s="185">
        <v>616.03595799999994</v>
      </c>
      <c r="D33" s="185">
        <v>650.84</v>
      </c>
      <c r="E33" s="185">
        <v>977.58799999999997</v>
      </c>
      <c r="F33" s="185">
        <v>336.3802520000001</v>
      </c>
      <c r="G33" s="186">
        <v>308.81409900000006</v>
      </c>
      <c r="H33" s="185">
        <v>552.24699999999996</v>
      </c>
      <c r="I33" s="186">
        <v>682.36099999999999</v>
      </c>
      <c r="J33" s="185">
        <v>645.20100000000002</v>
      </c>
      <c r="K33" s="185">
        <v>349.33199999999999</v>
      </c>
      <c r="L33" s="185">
        <v>588.65700000000004</v>
      </c>
      <c r="M33" s="185">
        <v>386.47500000000002</v>
      </c>
      <c r="N33" s="187">
        <v>440.96600000000001</v>
      </c>
      <c r="O33" s="192">
        <f>SUM(C33:N33)</f>
        <v>6534.8973090000018</v>
      </c>
    </row>
    <row r="34" spans="1:17" ht="17.25" customHeight="1">
      <c r="A34" s="211"/>
      <c r="B34" s="65" t="s">
        <v>35</v>
      </c>
      <c r="C34" s="185">
        <v>1242</v>
      </c>
      <c r="D34" s="185">
        <v>887.28</v>
      </c>
      <c r="E34" s="185">
        <v>1417.32</v>
      </c>
      <c r="F34" s="185">
        <v>845.16</v>
      </c>
      <c r="G34" s="186">
        <v>1142.1600000000001</v>
      </c>
      <c r="H34" s="185">
        <v>1314.24</v>
      </c>
      <c r="I34" s="186">
        <v>1581.42</v>
      </c>
      <c r="J34" s="185">
        <v>1176.8399999999999</v>
      </c>
      <c r="K34" s="185">
        <v>655.02</v>
      </c>
      <c r="L34" s="185">
        <v>1143.46</v>
      </c>
      <c r="M34" s="185">
        <v>932.4</v>
      </c>
      <c r="N34" s="187">
        <v>1229.52</v>
      </c>
      <c r="O34" s="192">
        <f>SUM(C34:N34)</f>
        <v>13566.819999999998</v>
      </c>
    </row>
    <row r="35" spans="1:17" ht="17.25" hidden="1" customHeight="1">
      <c r="A35" s="211"/>
      <c r="B35" s="65" t="s">
        <v>36</v>
      </c>
      <c r="C35" s="174">
        <v>0</v>
      </c>
      <c r="D35" s="174">
        <v>35.045000000000002</v>
      </c>
      <c r="E35" s="174">
        <v>69.599999999999994</v>
      </c>
      <c r="F35" s="174">
        <v>242.04</v>
      </c>
      <c r="G35" s="175">
        <v>460.5</v>
      </c>
      <c r="H35" s="174">
        <v>348.72</v>
      </c>
      <c r="I35" s="175">
        <v>387.18</v>
      </c>
      <c r="J35" s="174">
        <v>0</v>
      </c>
      <c r="K35" s="174">
        <v>35.1</v>
      </c>
      <c r="L35" s="174">
        <v>41.4</v>
      </c>
      <c r="M35" s="174">
        <v>75.36</v>
      </c>
      <c r="N35" s="176">
        <v>58.2</v>
      </c>
      <c r="O35" s="177">
        <f>SUM(C35:N35)</f>
        <v>1753.145</v>
      </c>
    </row>
    <row r="36" spans="1:17" ht="17.25" customHeight="1">
      <c r="A36" s="211"/>
      <c r="B36" s="53" t="s">
        <v>40</v>
      </c>
      <c r="C36" s="188">
        <v>812.99199999999996</v>
      </c>
      <c r="D36" s="188">
        <v>1042.29</v>
      </c>
      <c r="E36" s="188">
        <v>1032.5540000000001</v>
      </c>
      <c r="F36" s="188">
        <v>764.15559999999994</v>
      </c>
      <c r="G36" s="189">
        <v>1005.928</v>
      </c>
      <c r="H36" s="188">
        <v>700.8</v>
      </c>
      <c r="I36" s="189">
        <v>983.32600000000002</v>
      </c>
      <c r="J36" s="188">
        <v>1335.8989999999999</v>
      </c>
      <c r="K36" s="188">
        <v>1099.787</v>
      </c>
      <c r="L36" s="188">
        <v>732.53300000000002</v>
      </c>
      <c r="M36" s="188">
        <v>576.73599999999999</v>
      </c>
      <c r="N36" s="190">
        <v>1364.7460000000001</v>
      </c>
      <c r="O36" s="193">
        <f>SUM(C36:N36)</f>
        <v>11451.746600000002</v>
      </c>
    </row>
    <row r="37" spans="1:17" ht="17.25" customHeight="1">
      <c r="A37" s="211"/>
      <c r="B37" s="53" t="s">
        <v>50</v>
      </c>
      <c r="C37" s="188">
        <v>129.93362000000002</v>
      </c>
      <c r="D37" s="188">
        <v>217.72062</v>
      </c>
      <c r="E37" s="188">
        <v>127.64070999999998</v>
      </c>
      <c r="F37" s="188">
        <v>121.18095</v>
      </c>
      <c r="G37" s="189">
        <v>223.55839000000023</v>
      </c>
      <c r="H37" s="188">
        <v>77.647210000000001</v>
      </c>
      <c r="I37" s="189">
        <v>156.04750000000001</v>
      </c>
      <c r="J37" s="188">
        <v>179.48400000000001</v>
      </c>
      <c r="K37" s="188">
        <v>135.18799999999999</v>
      </c>
      <c r="L37" s="188">
        <v>105.038</v>
      </c>
      <c r="M37" s="188">
        <v>71.352000000000004</v>
      </c>
      <c r="N37" s="190">
        <v>188.59</v>
      </c>
      <c r="O37" s="193">
        <f>SUM(C37:N37)</f>
        <v>1733.3810000000003</v>
      </c>
    </row>
    <row r="38" spans="1:17" ht="17.25" customHeight="1" thickBot="1">
      <c r="A38" s="212"/>
      <c r="B38" s="54" t="s">
        <v>32</v>
      </c>
      <c r="C38" s="178">
        <f t="shared" ref="C38:N38" si="29">C37/C36</f>
        <v>0.15982152345902545</v>
      </c>
      <c r="D38" s="178">
        <f t="shared" si="29"/>
        <v>0.20888679734047147</v>
      </c>
      <c r="E38" s="178">
        <f t="shared" si="29"/>
        <v>0.12361649850758408</v>
      </c>
      <c r="F38" s="178">
        <f t="shared" si="29"/>
        <v>0.15858151140945639</v>
      </c>
      <c r="G38" s="179">
        <f t="shared" si="29"/>
        <v>0.22224094567404448</v>
      </c>
      <c r="H38" s="179">
        <f t="shared" si="29"/>
        <v>0.11079795947488585</v>
      </c>
      <c r="I38" s="179">
        <f t="shared" si="29"/>
        <v>0.1586935563587254</v>
      </c>
      <c r="J38" s="179">
        <f t="shared" si="29"/>
        <v>0.13435446841415408</v>
      </c>
      <c r="K38" s="179">
        <f t="shared" si="29"/>
        <v>0.12292198398417147</v>
      </c>
      <c r="L38" s="179">
        <f t="shared" si="29"/>
        <v>0.14339012713420418</v>
      </c>
      <c r="M38" s="178">
        <f t="shared" si="29"/>
        <v>0.1237169172723742</v>
      </c>
      <c r="N38" s="180">
        <f t="shared" si="29"/>
        <v>0.13818688605791846</v>
      </c>
      <c r="O38" s="181">
        <f t="shared" ref="O38" si="30">O37/O36</f>
        <v>0.15136389762588703</v>
      </c>
    </row>
    <row r="39" spans="1:17" ht="17.25" customHeight="1">
      <c r="A39" s="137"/>
      <c r="B39" s="51"/>
      <c r="C39" s="50"/>
      <c r="D39" s="50"/>
      <c r="E39" s="50"/>
      <c r="F39" s="50"/>
      <c r="G39" s="50"/>
      <c r="H39" s="50"/>
      <c r="I39" s="50"/>
      <c r="J39" s="50"/>
      <c r="K39" s="50"/>
      <c r="L39" s="50"/>
      <c r="M39" s="50"/>
      <c r="N39" s="50"/>
      <c r="O39" s="136"/>
      <c r="P39" s="136"/>
      <c r="Q39" s="136"/>
    </row>
    <row r="40" spans="1:17" ht="17.25" customHeight="1">
      <c r="A40" s="137"/>
      <c r="B40" s="51"/>
      <c r="C40" s="50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50"/>
      <c r="O40" s="136"/>
      <c r="P40" s="136"/>
      <c r="Q40" s="136"/>
    </row>
    <row r="41" spans="1:17" ht="17.25" customHeight="1">
      <c r="A41" s="137"/>
      <c r="B41" s="48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136"/>
      <c r="P41" s="136"/>
      <c r="Q41" s="136"/>
    </row>
    <row r="42" spans="1:17" ht="17.25" customHeight="1">
      <c r="A42" s="137"/>
      <c r="B42" s="48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136"/>
      <c r="P42" s="136"/>
      <c r="Q42" s="136"/>
    </row>
    <row r="43" spans="1:17" ht="17.25" customHeight="1">
      <c r="A43" s="137"/>
      <c r="B43" s="51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136"/>
      <c r="P43" s="136"/>
      <c r="Q43" s="136"/>
    </row>
    <row r="44" spans="1:17" ht="17.25" customHeight="1">
      <c r="A44" s="137"/>
      <c r="B44" s="51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136"/>
      <c r="P44" s="136"/>
      <c r="Q44" s="136"/>
    </row>
    <row r="45" spans="1:17" ht="17.25" customHeight="1">
      <c r="A45" s="137"/>
      <c r="B45" s="51"/>
      <c r="C45" s="50"/>
      <c r="D45" s="50"/>
      <c r="E45" s="50"/>
      <c r="F45" s="50"/>
      <c r="G45" s="50"/>
      <c r="H45" s="50"/>
      <c r="I45" s="50"/>
      <c r="J45" s="50"/>
      <c r="K45" s="50"/>
      <c r="L45" s="50"/>
      <c r="M45" s="50"/>
      <c r="N45" s="50"/>
      <c r="O45" s="136"/>
      <c r="P45" s="136"/>
      <c r="Q45" s="136"/>
    </row>
    <row r="46" spans="1:17" ht="17.25" customHeight="1">
      <c r="A46" s="137"/>
      <c r="B46" s="51"/>
      <c r="C46" s="50"/>
      <c r="D46" s="50"/>
      <c r="E46" s="50"/>
      <c r="F46" s="50"/>
      <c r="G46" s="50"/>
      <c r="H46" s="50"/>
      <c r="I46" s="50"/>
      <c r="J46" s="50"/>
      <c r="K46" s="50"/>
      <c r="L46" s="50"/>
      <c r="M46" s="50"/>
      <c r="N46" s="50"/>
      <c r="O46" s="136"/>
      <c r="P46" s="136"/>
      <c r="Q46" s="136"/>
    </row>
    <row r="47" spans="1:17" ht="17.25" customHeight="1">
      <c r="A47" s="137"/>
      <c r="B47" s="51"/>
      <c r="C47" s="50"/>
      <c r="D47" s="50"/>
      <c r="E47" s="50"/>
      <c r="F47" s="50"/>
      <c r="G47" s="50"/>
      <c r="H47" s="50"/>
      <c r="I47" s="50"/>
      <c r="J47" s="50"/>
      <c r="K47" s="50"/>
      <c r="L47" s="50"/>
      <c r="M47" s="50"/>
      <c r="N47" s="50"/>
      <c r="O47" s="136"/>
      <c r="P47" s="136"/>
      <c r="Q47" s="136"/>
    </row>
    <row r="48" spans="1:17" ht="17.25" customHeight="1">
      <c r="A48" s="137"/>
      <c r="B48" s="51"/>
      <c r="C48" s="136"/>
      <c r="D48" s="136"/>
      <c r="E48" s="136"/>
      <c r="F48" s="136"/>
      <c r="G48" s="136"/>
      <c r="H48" s="136"/>
      <c r="I48" s="136"/>
      <c r="J48" s="136"/>
      <c r="K48" s="136"/>
      <c r="L48" s="136"/>
      <c r="M48" s="136"/>
      <c r="N48" s="136"/>
      <c r="O48" s="136"/>
      <c r="P48" s="136"/>
      <c r="Q48" s="136"/>
    </row>
    <row r="49" spans="1:17" ht="17.25" customHeight="1">
      <c r="A49" s="138"/>
      <c r="B49" s="51"/>
      <c r="C49" s="136"/>
      <c r="D49" s="136"/>
      <c r="E49" s="136"/>
      <c r="F49" s="136"/>
      <c r="G49" s="136"/>
      <c r="H49" s="136"/>
      <c r="I49" s="136"/>
      <c r="J49" s="136"/>
      <c r="K49" s="136"/>
      <c r="L49" s="136"/>
      <c r="M49" s="136"/>
      <c r="N49" s="136"/>
      <c r="O49" s="136"/>
      <c r="P49" s="136"/>
      <c r="Q49" s="136"/>
    </row>
    <row r="50" spans="1:17" ht="17.25" customHeight="1">
      <c r="A50" s="138"/>
      <c r="B50" s="51"/>
      <c r="C50" s="136"/>
      <c r="D50" s="136"/>
      <c r="E50" s="136"/>
      <c r="F50" s="136"/>
      <c r="G50" s="136"/>
      <c r="H50" s="136"/>
      <c r="I50" s="136"/>
      <c r="J50" s="136"/>
      <c r="K50" s="136"/>
      <c r="L50" s="136"/>
      <c r="M50" s="136"/>
      <c r="N50" s="136"/>
      <c r="O50" s="136"/>
      <c r="P50" s="136"/>
      <c r="Q50" s="136"/>
    </row>
    <row r="51" spans="1:17" ht="17.25" customHeight="1">
      <c r="A51" s="138"/>
      <c r="B51" s="48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50"/>
      <c r="O51" s="136"/>
      <c r="P51" s="136"/>
      <c r="Q51" s="136"/>
    </row>
    <row r="52" spans="1:17" ht="17.25" customHeight="1">
      <c r="A52" s="139"/>
      <c r="B52" s="136"/>
      <c r="C52" s="128"/>
      <c r="D52" s="128"/>
      <c r="E52" s="128"/>
      <c r="F52" s="74"/>
      <c r="G52" s="74"/>
      <c r="H52" s="74"/>
      <c r="I52" s="74"/>
      <c r="J52" s="74"/>
      <c r="K52" s="74"/>
      <c r="L52" s="74"/>
      <c r="M52" s="74"/>
      <c r="N52" s="74"/>
      <c r="O52" s="136"/>
      <c r="P52" s="136"/>
      <c r="Q52" s="136"/>
    </row>
    <row r="53" spans="1:17" ht="17.25" customHeight="1">
      <c r="A53" s="139"/>
      <c r="B53" s="48"/>
      <c r="C53" s="49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136"/>
      <c r="P53" s="136"/>
      <c r="Q53" s="136"/>
    </row>
    <row r="54" spans="1:17" ht="17.25" customHeight="1">
      <c r="A54" s="139"/>
      <c r="B54" s="48"/>
      <c r="C54" s="49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136"/>
      <c r="P54" s="136"/>
      <c r="Q54" s="136"/>
    </row>
    <row r="55" spans="1:17" ht="17.25" customHeight="1">
      <c r="A55" s="139"/>
      <c r="B55" s="48"/>
      <c r="C55" s="49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136"/>
      <c r="P55" s="136"/>
      <c r="Q55" s="136"/>
    </row>
    <row r="56" spans="1:17" ht="17.25" customHeight="1">
      <c r="A56" s="139"/>
      <c r="B56" s="48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/>
      <c r="O56" s="136"/>
      <c r="P56" s="136"/>
      <c r="Q56" s="136"/>
    </row>
    <row r="57" spans="1:17" ht="15">
      <c r="A57" s="134"/>
      <c r="B57" s="129"/>
      <c r="C57" s="130"/>
      <c r="D57" s="130"/>
      <c r="E57" s="130"/>
      <c r="F57" s="130"/>
      <c r="G57" s="130"/>
      <c r="H57" s="130"/>
      <c r="I57" s="130"/>
      <c r="J57" s="130"/>
      <c r="K57" s="130"/>
      <c r="L57" s="130"/>
      <c r="M57" s="130"/>
      <c r="N57" s="130"/>
      <c r="O57" s="136"/>
      <c r="P57" s="136"/>
      <c r="Q57" s="136"/>
    </row>
    <row r="58" spans="1:17" ht="15">
      <c r="A58" s="134"/>
      <c r="B58" s="131"/>
      <c r="C58" s="130"/>
      <c r="D58" s="130"/>
      <c r="E58" s="130"/>
      <c r="F58" s="130"/>
      <c r="G58" s="130"/>
      <c r="H58" s="130"/>
      <c r="I58" s="130"/>
      <c r="J58" s="130"/>
      <c r="K58" s="130"/>
      <c r="L58" s="130"/>
      <c r="M58" s="130"/>
      <c r="N58" s="130"/>
      <c r="O58" s="136"/>
      <c r="P58" s="136"/>
      <c r="Q58" s="136"/>
    </row>
    <row r="59" spans="1:17" ht="15">
      <c r="A59" s="134"/>
      <c r="B59" s="132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136"/>
      <c r="P59" s="136"/>
      <c r="Q59" s="136"/>
    </row>
    <row r="60" spans="1:17">
      <c r="A60" s="134"/>
      <c r="B60" s="136"/>
      <c r="C60" s="136"/>
      <c r="D60" s="136"/>
      <c r="E60" s="136"/>
      <c r="F60" s="136"/>
      <c r="G60" s="136"/>
      <c r="H60" s="136"/>
      <c r="I60" s="136"/>
      <c r="J60" s="136"/>
      <c r="K60" s="136"/>
      <c r="L60" s="136"/>
      <c r="M60" s="136"/>
      <c r="N60" s="136"/>
      <c r="O60" s="136"/>
      <c r="P60" s="136"/>
      <c r="Q60" s="136"/>
    </row>
    <row r="61" spans="1:17">
      <c r="A61" s="13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136"/>
      <c r="P61" s="136"/>
      <c r="Q61" s="136"/>
    </row>
    <row r="62" spans="1:17" ht="15">
      <c r="A62" s="134"/>
      <c r="B62" s="132"/>
      <c r="C62" s="128"/>
      <c r="D62" s="128"/>
      <c r="E62" s="128"/>
      <c r="F62" s="74"/>
      <c r="G62" s="74"/>
      <c r="H62" s="74"/>
      <c r="I62" s="74"/>
      <c r="J62" s="74"/>
      <c r="K62" s="74"/>
      <c r="L62" s="74"/>
      <c r="M62" s="74"/>
      <c r="N62" s="74"/>
      <c r="O62" s="136"/>
      <c r="P62" s="136"/>
      <c r="Q62" s="136"/>
    </row>
    <row r="63" spans="1:17">
      <c r="A63" s="134"/>
      <c r="B63" s="136"/>
      <c r="C63" s="136"/>
      <c r="D63" s="136"/>
      <c r="E63" s="136"/>
      <c r="F63" s="136"/>
      <c r="G63" s="136"/>
      <c r="H63" s="136"/>
      <c r="I63" s="136"/>
      <c r="J63" s="136"/>
      <c r="K63" s="136"/>
      <c r="L63" s="136"/>
      <c r="M63" s="136"/>
      <c r="N63" s="136"/>
      <c r="O63" s="136"/>
      <c r="P63" s="136"/>
      <c r="Q63" s="136"/>
    </row>
    <row r="64" spans="1:17">
      <c r="A64" s="134"/>
      <c r="B64" s="74"/>
      <c r="C64" s="74"/>
      <c r="D64" s="128"/>
      <c r="E64" s="128"/>
      <c r="F64" s="74"/>
      <c r="G64" s="74"/>
      <c r="H64" s="74"/>
      <c r="I64" s="74"/>
      <c r="J64" s="74"/>
      <c r="K64" s="74"/>
      <c r="L64" s="74"/>
      <c r="M64" s="74"/>
      <c r="N64" s="74"/>
      <c r="O64" s="136"/>
      <c r="P64" s="136"/>
      <c r="Q64" s="136"/>
    </row>
    <row r="65" spans="1:17" ht="15">
      <c r="A65" s="134"/>
      <c r="B65" s="132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136"/>
      <c r="P65" s="136"/>
      <c r="Q65" s="136"/>
    </row>
    <row r="66" spans="1:17">
      <c r="A66" s="134"/>
      <c r="B66" s="136"/>
      <c r="C66" s="136"/>
      <c r="D66" s="136"/>
      <c r="E66" s="136"/>
      <c r="F66" s="136"/>
      <c r="G66" s="136"/>
      <c r="H66" s="136"/>
      <c r="I66" s="136"/>
      <c r="J66" s="136"/>
      <c r="K66" s="136"/>
      <c r="L66" s="136"/>
      <c r="M66" s="136"/>
      <c r="N66" s="136"/>
      <c r="O66" s="136"/>
      <c r="P66" s="136"/>
      <c r="Q66" s="136"/>
    </row>
    <row r="67" spans="1:17">
      <c r="A67" s="13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136"/>
      <c r="P67" s="136"/>
      <c r="Q67" s="136"/>
    </row>
    <row r="68" spans="1:17" ht="15">
      <c r="A68" s="134"/>
      <c r="B68" s="132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136"/>
      <c r="P68" s="136"/>
      <c r="Q68" s="136"/>
    </row>
    <row r="69" spans="1:17">
      <c r="A69" s="136"/>
      <c r="B69" s="136"/>
      <c r="C69" s="136"/>
      <c r="D69" s="136"/>
      <c r="E69" s="136"/>
      <c r="F69" s="136"/>
      <c r="G69" s="136"/>
      <c r="H69" s="136"/>
      <c r="I69" s="136"/>
      <c r="J69" s="136"/>
      <c r="K69" s="136"/>
      <c r="L69" s="136"/>
      <c r="M69" s="136"/>
      <c r="N69" s="136"/>
      <c r="O69" s="136"/>
      <c r="P69" s="136"/>
      <c r="Q69" s="136"/>
    </row>
    <row r="70" spans="1:17">
      <c r="A70" s="13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136"/>
      <c r="P70" s="136"/>
      <c r="Q70" s="136"/>
    </row>
    <row r="71" spans="1:17" ht="15">
      <c r="A71" s="134"/>
      <c r="B71" s="132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136"/>
      <c r="P71" s="136"/>
      <c r="Q71" s="136"/>
    </row>
    <row r="72" spans="1:17">
      <c r="A72" s="136"/>
      <c r="B72" s="136"/>
      <c r="C72" s="136"/>
      <c r="D72" s="136"/>
      <c r="E72" s="136"/>
      <c r="F72" s="136"/>
      <c r="G72" s="136"/>
      <c r="H72" s="136"/>
      <c r="I72" s="136"/>
      <c r="J72" s="136"/>
      <c r="K72" s="136"/>
      <c r="L72" s="136"/>
      <c r="M72" s="136"/>
      <c r="N72" s="136"/>
      <c r="O72" s="136"/>
      <c r="P72" s="136"/>
      <c r="Q72" s="136"/>
    </row>
    <row r="73" spans="1:17">
      <c r="A73" s="13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136"/>
      <c r="P73" s="136"/>
      <c r="Q73" s="136"/>
    </row>
    <row r="74" spans="1:17" ht="15">
      <c r="A74" s="134"/>
      <c r="B74" s="132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136"/>
      <c r="P74" s="136"/>
      <c r="Q74" s="136"/>
    </row>
    <row r="75" spans="1:17">
      <c r="A75" s="134"/>
      <c r="B75" s="74"/>
      <c r="C75" s="133"/>
      <c r="D75" s="133"/>
      <c r="E75" s="133"/>
      <c r="F75" s="133"/>
      <c r="G75" s="133"/>
      <c r="H75" s="133"/>
      <c r="I75" s="133"/>
      <c r="J75" s="133"/>
      <c r="K75" s="133"/>
      <c r="L75" s="133"/>
      <c r="M75" s="133"/>
      <c r="N75" s="133"/>
      <c r="O75" s="136"/>
      <c r="P75" s="136"/>
      <c r="Q75" s="136"/>
    </row>
    <row r="76" spans="1:17">
      <c r="A76" s="134"/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6"/>
      <c r="Q76" s="136"/>
    </row>
    <row r="77" spans="1:17">
      <c r="A77" s="134"/>
      <c r="B77" s="136"/>
      <c r="C77" s="136"/>
      <c r="D77" s="136"/>
      <c r="E77" s="136"/>
      <c r="F77" s="136"/>
      <c r="G77" s="136"/>
      <c r="H77" s="136"/>
      <c r="I77" s="136"/>
      <c r="J77" s="136"/>
      <c r="K77" s="136"/>
      <c r="L77" s="136"/>
      <c r="M77" s="136"/>
      <c r="N77" s="136"/>
      <c r="O77" s="136"/>
      <c r="P77" s="136"/>
      <c r="Q77" s="136"/>
    </row>
    <row r="78" spans="1:17">
      <c r="A78" s="134"/>
      <c r="B78" s="136"/>
      <c r="C78" s="136"/>
      <c r="D78" s="136"/>
      <c r="E78" s="136"/>
      <c r="F78" s="136"/>
      <c r="G78" s="136"/>
      <c r="H78" s="136"/>
      <c r="I78" s="136"/>
      <c r="J78" s="136"/>
      <c r="K78" s="136"/>
      <c r="L78" s="136"/>
      <c r="M78" s="136"/>
      <c r="N78" s="136"/>
      <c r="O78" s="136"/>
      <c r="P78" s="136"/>
      <c r="Q78" s="136"/>
    </row>
    <row r="79" spans="1:17">
      <c r="A79" s="13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136"/>
      <c r="P79" s="136"/>
      <c r="Q79" s="136"/>
    </row>
    <row r="80" spans="1:17">
      <c r="A80" s="134"/>
      <c r="B80" s="74"/>
      <c r="C80" s="133"/>
      <c r="D80" s="133"/>
      <c r="E80" s="133"/>
      <c r="F80" s="133"/>
      <c r="G80" s="133"/>
      <c r="H80" s="133"/>
      <c r="I80" s="133"/>
      <c r="J80" s="133"/>
      <c r="K80" s="133"/>
      <c r="L80" s="133"/>
      <c r="M80" s="133"/>
      <c r="N80" s="133"/>
      <c r="O80" s="136"/>
      <c r="P80" s="136"/>
      <c r="Q80" s="136"/>
    </row>
    <row r="81" spans="1:17">
      <c r="A81" s="134"/>
      <c r="B81" s="136"/>
      <c r="C81" s="136"/>
      <c r="D81" s="136"/>
      <c r="E81" s="136"/>
      <c r="F81" s="136"/>
      <c r="G81" s="136"/>
      <c r="H81" s="136"/>
      <c r="I81" s="136"/>
      <c r="J81" s="136"/>
      <c r="K81" s="136"/>
      <c r="L81" s="136"/>
      <c r="M81" s="136"/>
      <c r="N81" s="136"/>
      <c r="O81" s="136"/>
      <c r="P81" s="136"/>
      <c r="Q81" s="136"/>
    </row>
    <row r="82" spans="1:17">
      <c r="A82" s="134"/>
      <c r="B82" s="136"/>
      <c r="C82" s="136"/>
      <c r="D82" s="136"/>
      <c r="E82" s="136"/>
      <c r="F82" s="136"/>
      <c r="G82" s="136"/>
      <c r="H82" s="136"/>
      <c r="I82" s="136"/>
      <c r="J82" s="136"/>
      <c r="K82" s="136"/>
      <c r="L82" s="136"/>
      <c r="M82" s="136"/>
      <c r="N82" s="136"/>
      <c r="O82" s="136"/>
      <c r="P82" s="136"/>
      <c r="Q82" s="136"/>
    </row>
    <row r="83" spans="1:17">
      <c r="A83" s="134"/>
      <c r="B83" s="136"/>
      <c r="C83" s="136"/>
      <c r="D83" s="136"/>
      <c r="E83" s="136"/>
      <c r="F83" s="136"/>
      <c r="G83" s="136"/>
      <c r="H83" s="136"/>
      <c r="I83" s="136"/>
      <c r="J83" s="136"/>
      <c r="K83" s="136"/>
      <c r="L83" s="136"/>
      <c r="M83" s="136"/>
      <c r="N83" s="136"/>
      <c r="O83" s="136"/>
      <c r="P83" s="136"/>
      <c r="Q83" s="136"/>
    </row>
    <row r="84" spans="1:17">
      <c r="A84" s="134"/>
      <c r="B84" s="13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136"/>
      <c r="P84" s="136"/>
      <c r="Q84" s="136"/>
    </row>
    <row r="85" spans="1:17">
      <c r="A85" s="134"/>
      <c r="B85" s="134"/>
      <c r="C85" s="133"/>
      <c r="D85" s="133"/>
      <c r="E85" s="133"/>
      <c r="F85" s="133"/>
      <c r="G85" s="133"/>
      <c r="H85" s="133"/>
      <c r="I85" s="133"/>
      <c r="J85" s="133"/>
      <c r="K85" s="133"/>
      <c r="L85" s="133"/>
      <c r="M85" s="133"/>
      <c r="N85" s="133"/>
      <c r="O85" s="136"/>
      <c r="P85" s="136"/>
      <c r="Q85" s="136"/>
    </row>
    <row r="86" spans="1:17">
      <c r="A86" s="134"/>
      <c r="B86" s="134"/>
      <c r="C86" s="136"/>
      <c r="D86" s="136"/>
      <c r="E86" s="136"/>
      <c r="F86" s="136"/>
      <c r="G86" s="136"/>
      <c r="H86" s="136"/>
      <c r="I86" s="136"/>
      <c r="J86" s="136"/>
      <c r="K86" s="136"/>
      <c r="L86" s="136"/>
      <c r="M86" s="136"/>
      <c r="N86" s="136"/>
      <c r="O86" s="136"/>
      <c r="P86" s="136"/>
      <c r="Q86" s="136"/>
    </row>
    <row r="87" spans="1:17">
      <c r="A87" s="134"/>
      <c r="B87" s="134"/>
      <c r="C87" s="136"/>
      <c r="D87" s="136"/>
      <c r="E87" s="136"/>
      <c r="F87" s="136"/>
      <c r="G87" s="136"/>
      <c r="H87" s="136"/>
      <c r="I87" s="136"/>
      <c r="J87" s="136"/>
      <c r="K87" s="136"/>
      <c r="L87" s="136"/>
      <c r="M87" s="136"/>
      <c r="N87" s="136"/>
      <c r="O87" s="136"/>
      <c r="P87" s="136"/>
      <c r="Q87" s="136"/>
    </row>
    <row r="88" spans="1:17">
      <c r="A88" s="134"/>
      <c r="B88" s="134"/>
      <c r="C88" s="136"/>
      <c r="D88" s="136"/>
      <c r="E88" s="136"/>
      <c r="F88" s="136"/>
      <c r="G88" s="136"/>
      <c r="H88" s="136"/>
      <c r="I88" s="136"/>
      <c r="J88" s="136"/>
      <c r="K88" s="136"/>
      <c r="L88" s="136"/>
      <c r="M88" s="136"/>
      <c r="N88" s="136"/>
      <c r="O88" s="136"/>
      <c r="P88" s="136"/>
      <c r="Q88" s="136"/>
    </row>
    <row r="89" spans="1:17">
      <c r="A89" s="134"/>
      <c r="B89" s="13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136"/>
      <c r="P89" s="136"/>
      <c r="Q89" s="136"/>
    </row>
    <row r="90" spans="1:17">
      <c r="A90" s="134"/>
      <c r="B90" s="134"/>
      <c r="C90" s="133"/>
      <c r="D90" s="133"/>
      <c r="E90" s="133"/>
      <c r="F90" s="133"/>
      <c r="G90" s="133"/>
      <c r="H90" s="133"/>
      <c r="I90" s="133"/>
      <c r="J90" s="133"/>
      <c r="K90" s="133"/>
      <c r="L90" s="133"/>
      <c r="M90" s="133"/>
      <c r="N90" s="133"/>
      <c r="O90" s="136"/>
      <c r="P90" s="136"/>
      <c r="Q90" s="136"/>
    </row>
    <row r="91" spans="1:17">
      <c r="A91" s="134"/>
      <c r="B91" s="134"/>
      <c r="C91" s="135"/>
      <c r="D91" s="135"/>
      <c r="E91" s="135"/>
      <c r="F91" s="135"/>
      <c r="G91" s="135"/>
      <c r="H91" s="135"/>
      <c r="I91" s="135"/>
      <c r="J91" s="135"/>
      <c r="K91" s="135"/>
      <c r="L91" s="135"/>
      <c r="M91" s="135"/>
      <c r="N91" s="135"/>
      <c r="O91" s="136"/>
      <c r="P91" s="136"/>
      <c r="Q91" s="136"/>
    </row>
    <row r="92" spans="1:17">
      <c r="A92" s="134"/>
      <c r="B92" s="134"/>
      <c r="C92" s="135"/>
      <c r="D92" s="135"/>
      <c r="E92" s="135"/>
      <c r="F92" s="135"/>
      <c r="G92" s="135"/>
      <c r="H92" s="135"/>
      <c r="I92" s="135"/>
      <c r="J92" s="135"/>
      <c r="K92" s="135"/>
      <c r="L92" s="135"/>
      <c r="M92" s="135"/>
      <c r="N92" s="135"/>
      <c r="O92" s="136"/>
      <c r="P92" s="136"/>
      <c r="Q92" s="136"/>
    </row>
    <row r="93" spans="1:17">
      <c r="A93" s="134"/>
      <c r="B93" s="134"/>
      <c r="C93" s="135"/>
      <c r="D93" s="135"/>
      <c r="E93" s="135"/>
      <c r="F93" s="135"/>
      <c r="G93" s="135"/>
      <c r="H93" s="135"/>
      <c r="I93" s="135"/>
      <c r="J93" s="135"/>
      <c r="K93" s="135"/>
      <c r="L93" s="135"/>
      <c r="M93" s="135"/>
      <c r="N93" s="135"/>
      <c r="O93" s="136"/>
      <c r="P93" s="136"/>
      <c r="Q93" s="136"/>
    </row>
    <row r="94" spans="1:17">
      <c r="A94" s="136"/>
      <c r="B94" s="136"/>
      <c r="C94" s="136"/>
      <c r="D94" s="136"/>
      <c r="E94" s="136"/>
      <c r="F94" s="136"/>
      <c r="G94" s="136"/>
      <c r="H94" s="136"/>
      <c r="I94" s="136"/>
      <c r="J94" s="136"/>
      <c r="K94" s="136"/>
      <c r="L94" s="136"/>
      <c r="M94" s="136"/>
      <c r="N94" s="136"/>
      <c r="O94" s="136"/>
      <c r="P94" s="136"/>
      <c r="Q94" s="136"/>
    </row>
    <row r="95" spans="1:17">
      <c r="A95" s="136"/>
      <c r="B95" s="136"/>
      <c r="C95" s="136"/>
      <c r="D95" s="136"/>
      <c r="E95" s="136"/>
      <c r="F95" s="136"/>
      <c r="G95" s="136"/>
      <c r="H95" s="136"/>
      <c r="I95" s="136"/>
      <c r="J95" s="136"/>
      <c r="K95" s="136"/>
      <c r="L95" s="136"/>
      <c r="M95" s="136"/>
      <c r="N95" s="136"/>
      <c r="O95" s="136"/>
      <c r="P95" s="136"/>
      <c r="Q95" s="136"/>
    </row>
    <row r="96" spans="1:17">
      <c r="A96" s="136"/>
      <c r="B96" s="136"/>
      <c r="C96" s="136"/>
      <c r="D96" s="136"/>
      <c r="E96" s="136"/>
      <c r="F96" s="136"/>
      <c r="G96" s="136"/>
      <c r="H96" s="136"/>
      <c r="I96" s="136"/>
      <c r="J96" s="136"/>
      <c r="K96" s="136"/>
      <c r="L96" s="136"/>
      <c r="M96" s="136"/>
      <c r="N96" s="136"/>
      <c r="O96" s="136"/>
      <c r="P96" s="136"/>
      <c r="Q96" s="136"/>
    </row>
    <row r="97" spans="1:17">
      <c r="A97" s="136"/>
      <c r="B97" s="136"/>
      <c r="C97" s="136"/>
      <c r="D97" s="136"/>
      <c r="E97" s="136"/>
      <c r="F97" s="136"/>
      <c r="G97" s="136"/>
      <c r="H97" s="136"/>
      <c r="I97" s="136"/>
      <c r="J97" s="136"/>
      <c r="K97" s="136"/>
      <c r="L97" s="136"/>
      <c r="M97" s="136"/>
      <c r="N97" s="136"/>
      <c r="O97" s="136"/>
      <c r="P97" s="136"/>
      <c r="Q97" s="136"/>
    </row>
    <row r="98" spans="1:17">
      <c r="A98" s="136"/>
      <c r="B98" s="136"/>
      <c r="C98" s="136"/>
      <c r="D98" s="136"/>
      <c r="E98" s="136"/>
      <c r="F98" s="136"/>
      <c r="G98" s="136"/>
      <c r="H98" s="136"/>
      <c r="I98" s="136"/>
      <c r="J98" s="136"/>
      <c r="K98" s="136"/>
      <c r="L98" s="136"/>
      <c r="M98" s="136"/>
      <c r="N98" s="136"/>
      <c r="O98" s="136"/>
      <c r="P98" s="136"/>
      <c r="Q98" s="136"/>
    </row>
    <row r="99" spans="1:17">
      <c r="A99" s="136"/>
      <c r="B99" s="136"/>
      <c r="C99" s="136"/>
      <c r="D99" s="136"/>
      <c r="E99" s="136"/>
      <c r="F99" s="136"/>
      <c r="G99" s="136"/>
      <c r="H99" s="136"/>
      <c r="I99" s="136"/>
      <c r="J99" s="136"/>
      <c r="K99" s="136"/>
      <c r="L99" s="136"/>
      <c r="M99" s="136"/>
      <c r="N99" s="136"/>
      <c r="O99" s="136"/>
      <c r="P99" s="136"/>
      <c r="Q99" s="136"/>
    </row>
    <row r="100" spans="1:17">
      <c r="A100" s="136"/>
      <c r="B100" s="136"/>
      <c r="C100" s="136"/>
      <c r="D100" s="136"/>
      <c r="E100" s="136"/>
      <c r="F100" s="136"/>
      <c r="G100" s="136"/>
      <c r="H100" s="136"/>
      <c r="I100" s="136"/>
      <c r="J100" s="136"/>
      <c r="K100" s="136"/>
      <c r="L100" s="136"/>
      <c r="M100" s="136"/>
      <c r="N100" s="136"/>
      <c r="O100" s="136"/>
      <c r="P100" s="136"/>
      <c r="Q100" s="136"/>
    </row>
    <row r="101" spans="1:17">
      <c r="A101" s="136"/>
      <c r="B101" s="136"/>
      <c r="C101" s="136"/>
      <c r="D101" s="136"/>
      <c r="E101" s="136"/>
      <c r="F101" s="136"/>
      <c r="G101" s="136"/>
      <c r="H101" s="136"/>
      <c r="I101" s="136"/>
      <c r="J101" s="136"/>
      <c r="K101" s="136"/>
      <c r="L101" s="136"/>
      <c r="M101" s="136"/>
      <c r="N101" s="136"/>
      <c r="O101" s="136"/>
      <c r="P101" s="136"/>
      <c r="Q101" s="136"/>
    </row>
  </sheetData>
  <mergeCells count="3">
    <mergeCell ref="A28:A38"/>
    <mergeCell ref="A17:A27"/>
    <mergeCell ref="A6:A16"/>
  </mergeCells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31"/>
  <sheetViews>
    <sheetView zoomScale="70" zoomScaleNormal="70" workbookViewId="0">
      <pane xSplit="3" ySplit="4" topLeftCell="D5" activePane="bottomRight" state="frozen"/>
      <selection pane="topRight" activeCell="D1" sqref="D1"/>
      <selection pane="bottomLeft" activeCell="A4" sqref="A4"/>
      <selection pane="bottomRight" activeCell="C5" sqref="C5:C17"/>
    </sheetView>
  </sheetViews>
  <sheetFormatPr defaultRowHeight="12.75"/>
  <cols>
    <col min="1" max="1" width="4.375" style="1" customWidth="1"/>
    <col min="2" max="2" width="18.375" style="1" customWidth="1"/>
    <col min="3" max="3" width="32" style="1" customWidth="1"/>
    <col min="4" max="15" width="9.125" style="1" customWidth="1"/>
    <col min="16" max="16" width="10.625" style="1" customWidth="1"/>
    <col min="17" max="17" width="1.875" style="1" customWidth="1"/>
    <col min="18" max="18" width="8.75" style="1" customWidth="1"/>
    <col min="19" max="16384" width="9" style="1"/>
  </cols>
  <sheetData>
    <row r="1" spans="1:18" ht="41.25" customHeight="1" thickBot="1">
      <c r="B1" s="6" t="s">
        <v>4</v>
      </c>
      <c r="G1" s="1">
        <v>1000</v>
      </c>
      <c r="P1" s="34" t="s">
        <v>16</v>
      </c>
      <c r="Q1" s="1">
        <v>60</v>
      </c>
    </row>
    <row r="2" spans="1:18" ht="15" customHeight="1" thickBot="1">
      <c r="B2" s="6"/>
      <c r="C2" s="1" t="s">
        <v>61</v>
      </c>
      <c r="P2" s="35">
        <v>0.47</v>
      </c>
      <c r="Q2" s="33"/>
      <c r="R2" s="33"/>
    </row>
    <row r="3" spans="1:18" s="5" customFormat="1" ht="18" customHeight="1" thickBot="1">
      <c r="A3" s="4"/>
      <c r="B3" s="76"/>
      <c r="C3" s="13"/>
      <c r="D3" s="87">
        <v>41640</v>
      </c>
      <c r="E3" s="87">
        <v>41671</v>
      </c>
      <c r="F3" s="87">
        <v>41699</v>
      </c>
      <c r="G3" s="87">
        <v>41730</v>
      </c>
      <c r="H3" s="87">
        <v>41760</v>
      </c>
      <c r="I3" s="87">
        <v>41791</v>
      </c>
      <c r="J3" s="89">
        <v>41821</v>
      </c>
      <c r="K3" s="124">
        <v>41852</v>
      </c>
      <c r="L3" s="87">
        <v>41883</v>
      </c>
      <c r="M3" s="87">
        <v>41913</v>
      </c>
      <c r="N3" s="89">
        <v>41944</v>
      </c>
      <c r="O3" s="124">
        <v>41974</v>
      </c>
      <c r="P3" s="88" t="s">
        <v>18</v>
      </c>
    </row>
    <row r="4" spans="1:18" s="5" customFormat="1" ht="19.5" customHeight="1" thickBot="1">
      <c r="A4" s="4"/>
      <c r="B4" s="101"/>
      <c r="C4" s="85" t="s">
        <v>47</v>
      </c>
      <c r="D4" s="86">
        <v>21</v>
      </c>
      <c r="E4" s="86">
        <v>23</v>
      </c>
      <c r="F4" s="86">
        <v>26</v>
      </c>
      <c r="G4" s="86">
        <v>20</v>
      </c>
      <c r="H4" s="86">
        <v>25</v>
      </c>
      <c r="I4" s="86">
        <v>23</v>
      </c>
      <c r="J4" s="90">
        <v>26</v>
      </c>
      <c r="K4" s="90">
        <v>26</v>
      </c>
      <c r="L4" s="90">
        <v>20</v>
      </c>
      <c r="M4" s="90">
        <v>27</v>
      </c>
      <c r="N4" s="90">
        <v>21</v>
      </c>
      <c r="O4" s="90">
        <v>26</v>
      </c>
      <c r="P4" s="86">
        <f>SUM(D4:O4)</f>
        <v>284</v>
      </c>
    </row>
    <row r="5" spans="1:18" s="10" customFormat="1" ht="19.5" customHeight="1">
      <c r="A5" s="9"/>
      <c r="B5" s="199" t="s">
        <v>17</v>
      </c>
      <c r="C5" s="58" t="s">
        <v>0</v>
      </c>
      <c r="D5" s="36">
        <f t="shared" ref="D5:I5" si="0">D10/D13</f>
        <v>0.58446519264326291</v>
      </c>
      <c r="E5" s="36">
        <f t="shared" si="0"/>
        <v>0.65823023144685444</v>
      </c>
      <c r="F5" s="36">
        <f t="shared" si="0"/>
        <v>0.57493314217304825</v>
      </c>
      <c r="G5" s="36">
        <f t="shared" si="0"/>
        <v>0.52687854488558572</v>
      </c>
      <c r="H5" s="36">
        <f t="shared" si="0"/>
        <v>0.59094510712548987</v>
      </c>
      <c r="I5" s="36">
        <f t="shared" si="0"/>
        <v>0.56342143431136193</v>
      </c>
      <c r="J5" s="36">
        <f t="shared" ref="J5:K5" si="1">J10/J13</f>
        <v>0.56215673320119852</v>
      </c>
      <c r="K5" s="36">
        <f t="shared" si="1"/>
        <v>0.59583427878022555</v>
      </c>
      <c r="L5" s="36">
        <f>L10/L13</f>
        <v>0.60419979262225021</v>
      </c>
      <c r="M5" s="36">
        <f>M10/M13</f>
        <v>0.53807024713220153</v>
      </c>
      <c r="N5" s="36">
        <f>N10/N13</f>
        <v>0.5871483923622054</v>
      </c>
      <c r="O5" s="36">
        <f>O10/O13</f>
        <v>0.57372753865440862</v>
      </c>
      <c r="P5" s="25">
        <f>P10/P13</f>
        <v>0.57898095770647318</v>
      </c>
    </row>
    <row r="6" spans="1:18" ht="19.5" customHeight="1">
      <c r="A6" s="3"/>
      <c r="B6" s="200"/>
      <c r="C6" s="59" t="s">
        <v>19</v>
      </c>
      <c r="D6" s="37">
        <v>454.47300000000001</v>
      </c>
      <c r="E6" s="37">
        <v>510.22300000000001</v>
      </c>
      <c r="F6" s="37">
        <v>555.51800000000003</v>
      </c>
      <c r="G6" s="37">
        <v>333.17500000000001</v>
      </c>
      <c r="H6" s="37">
        <v>619.85500000000002</v>
      </c>
      <c r="I6" s="18">
        <v>546.90700000000004</v>
      </c>
      <c r="J6" s="37">
        <v>637.476</v>
      </c>
      <c r="K6" s="18">
        <v>715.20100000000002</v>
      </c>
      <c r="L6" s="18">
        <v>477.53399999999999</v>
      </c>
      <c r="M6" s="18">
        <v>538.43700000000001</v>
      </c>
      <c r="N6" s="18">
        <v>383.90100000000001</v>
      </c>
      <c r="O6" s="122">
        <v>528.69899999999996</v>
      </c>
      <c r="P6" s="26">
        <f>SUM(D6:O6)</f>
        <v>6301.3989999999985</v>
      </c>
    </row>
    <row r="7" spans="1:18" ht="19.5" hidden="1" customHeight="1">
      <c r="A7" s="3"/>
      <c r="B7" s="200"/>
      <c r="C7" s="59" t="s">
        <v>14</v>
      </c>
      <c r="D7" s="37">
        <v>28</v>
      </c>
      <c r="E7" s="37">
        <v>32</v>
      </c>
      <c r="F7" s="37">
        <v>28</v>
      </c>
      <c r="G7" s="37">
        <v>23</v>
      </c>
      <c r="H7" s="37">
        <v>25</v>
      </c>
      <c r="I7" s="18">
        <v>34</v>
      </c>
      <c r="J7" s="37">
        <v>29</v>
      </c>
      <c r="K7" s="18">
        <v>31</v>
      </c>
      <c r="L7" s="18">
        <v>25</v>
      </c>
      <c r="M7" s="18">
        <v>55</v>
      </c>
      <c r="N7" s="18">
        <v>41</v>
      </c>
      <c r="O7" s="122">
        <v>41</v>
      </c>
      <c r="P7" s="26">
        <f>AVERAGE(D7:O7)</f>
        <v>32.666666666666664</v>
      </c>
    </row>
    <row r="8" spans="1:18" ht="19.5" hidden="1" customHeight="1">
      <c r="A8" s="3"/>
      <c r="B8" s="200"/>
      <c r="C8" s="59" t="s">
        <v>15</v>
      </c>
      <c r="D8" s="37"/>
      <c r="E8" s="37">
        <v>18</v>
      </c>
      <c r="F8" s="37">
        <v>11</v>
      </c>
      <c r="G8" s="37">
        <v>14</v>
      </c>
      <c r="H8" s="37">
        <v>9</v>
      </c>
      <c r="I8" s="18">
        <v>30</v>
      </c>
      <c r="J8" s="37">
        <v>14</v>
      </c>
      <c r="K8" s="18">
        <v>15</v>
      </c>
      <c r="L8" s="18">
        <v>11</v>
      </c>
      <c r="M8" s="18">
        <v>54</v>
      </c>
      <c r="N8" s="18">
        <v>20</v>
      </c>
      <c r="O8" s="122">
        <v>20</v>
      </c>
      <c r="P8" s="26">
        <f>AVERAGE(D8:O8)</f>
        <v>19.636363636363637</v>
      </c>
    </row>
    <row r="9" spans="1:18" ht="19.5" hidden="1" customHeight="1">
      <c r="A9" s="3"/>
      <c r="B9" s="200"/>
      <c r="C9" s="60" t="s">
        <v>59</v>
      </c>
      <c r="D9" s="38">
        <f>D6/D7</f>
        <v>16.231178571428572</v>
      </c>
      <c r="E9" s="38">
        <f>E6/E7</f>
        <v>15.94446875</v>
      </c>
      <c r="F9" s="38">
        <f t="shared" ref="F9:O9" si="2">F6/F7</f>
        <v>19.839928571428572</v>
      </c>
      <c r="G9" s="38">
        <f t="shared" si="2"/>
        <v>14.485869565217392</v>
      </c>
      <c r="H9" s="38">
        <f t="shared" si="2"/>
        <v>24.7942</v>
      </c>
      <c r="I9" s="38">
        <f t="shared" si="2"/>
        <v>16.0855</v>
      </c>
      <c r="J9" s="38">
        <f t="shared" si="2"/>
        <v>21.981931034482759</v>
      </c>
      <c r="K9" s="38">
        <f t="shared" si="2"/>
        <v>23.071000000000002</v>
      </c>
      <c r="L9" s="38">
        <f t="shared" si="2"/>
        <v>19.10136</v>
      </c>
      <c r="M9" s="38">
        <f t="shared" si="2"/>
        <v>9.7897636363636362</v>
      </c>
      <c r="N9" s="38">
        <f t="shared" si="2"/>
        <v>9.3634390243902441</v>
      </c>
      <c r="O9" s="38">
        <f t="shared" si="2"/>
        <v>12.895097560975609</v>
      </c>
      <c r="P9" s="26">
        <f>AVERAGE(D9:O9)</f>
        <v>16.965311392857231</v>
      </c>
    </row>
    <row r="10" spans="1:18" s="2" customFormat="1" ht="19.5" customHeight="1">
      <c r="A10" s="11"/>
      <c r="B10" s="200"/>
      <c r="C10" s="60" t="s">
        <v>21</v>
      </c>
      <c r="D10" s="37">
        <v>4193.491</v>
      </c>
      <c r="E10" s="37">
        <v>5069.1099999999997</v>
      </c>
      <c r="F10" s="37">
        <v>4764.0339999999997</v>
      </c>
      <c r="G10" s="37">
        <v>3232.7159999999999</v>
      </c>
      <c r="H10" s="37">
        <v>5784.4780000000001</v>
      </c>
      <c r="I10" s="18">
        <v>5749.2650000000003</v>
      </c>
      <c r="J10" s="37">
        <v>6739</v>
      </c>
      <c r="K10" s="18">
        <v>7247.4660000000003</v>
      </c>
      <c r="L10" s="18">
        <v>5378.3630000000003</v>
      </c>
      <c r="M10" s="18">
        <v>6517.6180000000004</v>
      </c>
      <c r="N10" s="18">
        <v>5812.91</v>
      </c>
      <c r="O10" s="122">
        <v>7413.8220000000001</v>
      </c>
      <c r="P10" s="27">
        <f>SUM(D10:O10)</f>
        <v>67902.273000000001</v>
      </c>
    </row>
    <row r="11" spans="1:18" ht="19.5" customHeight="1">
      <c r="A11" s="3"/>
      <c r="B11" s="200"/>
      <c r="C11" s="60" t="s">
        <v>8</v>
      </c>
      <c r="D11" s="37">
        <f t="shared" ref="D11:L11" si="3">(D13/D4/570)*1000</f>
        <v>599.40852130325811</v>
      </c>
      <c r="E11" s="37">
        <f t="shared" si="3"/>
        <v>587.42334096109835</v>
      </c>
      <c r="F11" s="37">
        <f t="shared" si="3"/>
        <v>559.12550607287449</v>
      </c>
      <c r="G11" s="37">
        <f t="shared" si="3"/>
        <v>538.21052631578948</v>
      </c>
      <c r="H11" s="37">
        <f t="shared" si="3"/>
        <v>686.9136842105263</v>
      </c>
      <c r="I11" s="18">
        <f t="shared" si="3"/>
        <v>778.35240274599551</v>
      </c>
      <c r="J11" s="37">
        <f t="shared" si="3"/>
        <v>808.89068825910942</v>
      </c>
      <c r="K11" s="37">
        <f t="shared" si="3"/>
        <v>820.75303643724692</v>
      </c>
      <c r="L11" s="37">
        <f t="shared" si="3"/>
        <v>780.84473684210525</v>
      </c>
      <c r="M11" s="18">
        <v>804</v>
      </c>
      <c r="N11" s="18">
        <v>825</v>
      </c>
      <c r="O11" s="122">
        <v>888</v>
      </c>
      <c r="P11" s="81">
        <f>AVERAGE(D11:O11)</f>
        <v>723.07687026233361</v>
      </c>
    </row>
    <row r="12" spans="1:18" ht="19.5" hidden="1" customHeight="1">
      <c r="A12" s="3"/>
      <c r="B12" s="200"/>
      <c r="C12" s="60" t="s">
        <v>7</v>
      </c>
      <c r="D12" s="19">
        <f>D11/1444</f>
        <v>0.41510285408812891</v>
      </c>
      <c r="E12" s="19">
        <f t="shared" ref="E12:O12" si="4">E11/1444</f>
        <v>0.40680286770159163</v>
      </c>
      <c r="F12" s="19">
        <f t="shared" si="4"/>
        <v>0.38720602913633967</v>
      </c>
      <c r="G12" s="19">
        <f t="shared" si="4"/>
        <v>0.37272197113281819</v>
      </c>
      <c r="H12" s="19">
        <f t="shared" si="4"/>
        <v>0.47570199737571073</v>
      </c>
      <c r="I12" s="19">
        <f t="shared" si="4"/>
        <v>0.53902520965789158</v>
      </c>
      <c r="J12" s="19">
        <f t="shared" si="4"/>
        <v>0.56017360682763806</v>
      </c>
      <c r="K12" s="19">
        <f t="shared" si="4"/>
        <v>0.56838852938867512</v>
      </c>
      <c r="L12" s="19">
        <f t="shared" si="4"/>
        <v>0.54075120279924183</v>
      </c>
      <c r="M12" s="19">
        <f t="shared" si="4"/>
        <v>0.55678670360110805</v>
      </c>
      <c r="N12" s="19">
        <f t="shared" si="4"/>
        <v>0.57132963988919672</v>
      </c>
      <c r="O12" s="162">
        <f t="shared" si="4"/>
        <v>0.61495844875346262</v>
      </c>
      <c r="P12" s="161">
        <f t="shared" ref="P12" si="5">P11/1368</f>
        <v>0.52856496364205674</v>
      </c>
      <c r="Q12" s="2"/>
      <c r="R12" s="2"/>
    </row>
    <row r="13" spans="1:18" ht="19.5" customHeight="1">
      <c r="A13" s="3"/>
      <c r="B13" s="200"/>
      <c r="C13" s="60" t="s">
        <v>20</v>
      </c>
      <c r="D13" s="18">
        <v>7174.92</v>
      </c>
      <c r="E13" s="18">
        <v>7701.12</v>
      </c>
      <c r="F13" s="18">
        <v>8286.24</v>
      </c>
      <c r="G13" s="18">
        <v>6135.6</v>
      </c>
      <c r="H13" s="18">
        <v>9788.52</v>
      </c>
      <c r="I13" s="18">
        <v>10204.200000000001</v>
      </c>
      <c r="J13" s="37">
        <v>11987.76</v>
      </c>
      <c r="K13" s="18">
        <v>12163.56</v>
      </c>
      <c r="L13" s="18">
        <v>8901.6299999999992</v>
      </c>
      <c r="M13" s="18">
        <v>12112.95</v>
      </c>
      <c r="N13" s="18">
        <v>9900.24</v>
      </c>
      <c r="O13" s="122">
        <v>12922.2</v>
      </c>
      <c r="P13" s="27">
        <f>SUM(D13:O13)</f>
        <v>117278.94</v>
      </c>
    </row>
    <row r="14" spans="1:18" ht="19.5" customHeight="1">
      <c r="A14" s="3"/>
      <c r="B14" s="200"/>
      <c r="C14" s="60" t="s">
        <v>9</v>
      </c>
      <c r="D14" s="21">
        <f t="shared" ref="D14:G14" si="6">D10/D6</f>
        <v>9.2271510078706545</v>
      </c>
      <c r="E14" s="21">
        <f t="shared" si="6"/>
        <v>9.9350872069663652</v>
      </c>
      <c r="F14" s="21">
        <f t="shared" si="6"/>
        <v>8.575840926846654</v>
      </c>
      <c r="G14" s="21">
        <f t="shared" si="6"/>
        <v>9.7027568094845051</v>
      </c>
      <c r="H14" s="21">
        <f>H10/H6</f>
        <v>9.3319857063345459</v>
      </c>
      <c r="I14" s="73">
        <f>I10/I6</f>
        <v>10.512326593003928</v>
      </c>
      <c r="J14" s="78">
        <f>J10/J6</f>
        <v>10.571378373460334</v>
      </c>
      <c r="K14" s="78">
        <f t="shared" ref="K14:O14" si="7">K10/K6</f>
        <v>10.133467374905797</v>
      </c>
      <c r="L14" s="78">
        <f t="shared" si="7"/>
        <v>11.262785477055038</v>
      </c>
      <c r="M14" s="78">
        <f t="shared" si="7"/>
        <v>12.104699342727191</v>
      </c>
      <c r="N14" s="78">
        <f t="shared" si="7"/>
        <v>15.141690175331661</v>
      </c>
      <c r="O14" s="78">
        <f t="shared" si="7"/>
        <v>14.022765316370942</v>
      </c>
      <c r="P14" s="28">
        <f>P10/P6</f>
        <v>10.775745671715125</v>
      </c>
    </row>
    <row r="15" spans="1:18" ht="19.5" customHeight="1">
      <c r="A15" s="3"/>
      <c r="B15" s="200"/>
      <c r="C15" s="60" t="s">
        <v>22</v>
      </c>
      <c r="D15" s="37">
        <v>1860.8150000000001</v>
      </c>
      <c r="E15" s="37">
        <v>2187.3139999999999</v>
      </c>
      <c r="F15" s="37">
        <v>1774.8420000000001</v>
      </c>
      <c r="G15" s="37">
        <v>1559.45</v>
      </c>
      <c r="H15" s="37">
        <v>2997.4780000000001</v>
      </c>
      <c r="I15" s="18">
        <v>2659.4960000000001</v>
      </c>
      <c r="J15" s="37">
        <v>3239.2849999999999</v>
      </c>
      <c r="K15" s="18">
        <v>3847.1889999999999</v>
      </c>
      <c r="L15" s="18">
        <v>2686.3780000000002</v>
      </c>
      <c r="M15" s="18">
        <v>2870.0740000000001</v>
      </c>
      <c r="N15" s="18">
        <v>2045.0809999999999</v>
      </c>
      <c r="O15" s="122">
        <v>2597.2440000000001</v>
      </c>
      <c r="P15" s="27">
        <f>SUM(D15:O15)</f>
        <v>30324.645999999997</v>
      </c>
    </row>
    <row r="16" spans="1:18" ht="19.5" customHeight="1">
      <c r="A16" s="3"/>
      <c r="B16" s="200"/>
      <c r="C16" s="61" t="s">
        <v>10</v>
      </c>
      <c r="D16" s="22">
        <f t="shared" ref="D16:P16" si="8">D15/D6</f>
        <v>4.0944456546373491</v>
      </c>
      <c r="E16" s="22">
        <f t="shared" si="8"/>
        <v>4.2869764789121616</v>
      </c>
      <c r="F16" s="22">
        <f t="shared" si="8"/>
        <v>3.1949315773746307</v>
      </c>
      <c r="G16" s="22">
        <f t="shared" si="8"/>
        <v>4.6805732723043443</v>
      </c>
      <c r="H16" s="22">
        <f t="shared" si="8"/>
        <v>4.8357728823676505</v>
      </c>
      <c r="I16" s="22">
        <f>I15/I6</f>
        <v>4.8627938570908764</v>
      </c>
      <c r="J16" s="79">
        <f t="shared" si="8"/>
        <v>5.0814226731673031</v>
      </c>
      <c r="K16" s="79">
        <f t="shared" ref="K16:O16" si="9">K15/K6</f>
        <v>5.379171729346016</v>
      </c>
      <c r="L16" s="79">
        <f t="shared" si="9"/>
        <v>5.6255219523636022</v>
      </c>
      <c r="M16" s="79">
        <f t="shared" si="9"/>
        <v>5.330380341618425</v>
      </c>
      <c r="N16" s="79">
        <f t="shared" si="9"/>
        <v>5.3271051651337187</v>
      </c>
      <c r="O16" s="79">
        <f t="shared" si="9"/>
        <v>4.9125192217121656</v>
      </c>
      <c r="P16" s="29">
        <f t="shared" si="8"/>
        <v>4.8123672219454763</v>
      </c>
    </row>
    <row r="17" spans="1:18" ht="19.5" customHeight="1" thickBot="1">
      <c r="A17" s="3"/>
      <c r="B17" s="201"/>
      <c r="C17" s="62" t="s">
        <v>23</v>
      </c>
      <c r="D17" s="23">
        <f>D15/D$4</f>
        <v>88.610238095238103</v>
      </c>
      <c r="E17" s="23">
        <f>E15/E$4</f>
        <v>95.10060869565217</v>
      </c>
      <c r="F17" s="23">
        <f>F15/F$4</f>
        <v>68.263153846153855</v>
      </c>
      <c r="G17" s="23">
        <f>G15/G$4</f>
        <v>77.972499999999997</v>
      </c>
      <c r="H17" s="23">
        <f>H15/H4</f>
        <v>119.89912</v>
      </c>
      <c r="I17" s="75">
        <f>I15/I4</f>
        <v>115.63026086956522</v>
      </c>
      <c r="J17" s="80">
        <f>J15/J4</f>
        <v>124.58788461538461</v>
      </c>
      <c r="K17" s="80">
        <f t="shared" ref="K17:M17" si="10">K15/K4</f>
        <v>147.96880769230768</v>
      </c>
      <c r="L17" s="80">
        <f t="shared" si="10"/>
        <v>134.31890000000001</v>
      </c>
      <c r="M17" s="80">
        <f t="shared" si="10"/>
        <v>106.29903703703704</v>
      </c>
      <c r="N17" s="80">
        <f>N15/N4</f>
        <v>97.384809523809523</v>
      </c>
      <c r="O17" s="80">
        <f>O15/O4</f>
        <v>99.894000000000005</v>
      </c>
      <c r="P17" s="30">
        <f>P15/P$4</f>
        <v>106.77692253521126</v>
      </c>
    </row>
    <row r="18" spans="1:18" ht="19.5" customHeight="1" thickBot="1">
      <c r="A18" s="107"/>
      <c r="B18" s="140"/>
      <c r="C18" s="48"/>
      <c r="D18" s="106"/>
      <c r="E18" s="106"/>
      <c r="F18" s="106"/>
      <c r="G18" s="106"/>
      <c r="H18" s="106"/>
      <c r="I18" s="106"/>
      <c r="J18" s="106"/>
      <c r="K18" s="106">
        <v>0</v>
      </c>
      <c r="L18" s="106">
        <v>0</v>
      </c>
      <c r="M18" s="106"/>
      <c r="N18" s="106"/>
      <c r="O18" s="106"/>
      <c r="P18" s="106"/>
      <c r="Q18" s="107"/>
      <c r="R18" s="107"/>
    </row>
    <row r="19" spans="1:18" ht="19.5" customHeight="1" thickBot="1">
      <c r="A19" s="3"/>
      <c r="B19" s="202" t="s">
        <v>28</v>
      </c>
      <c r="C19" s="64" t="s">
        <v>24</v>
      </c>
      <c r="D19" s="39">
        <v>443.06700000000001</v>
      </c>
      <c r="E19" s="39">
        <v>320.28199999999998</v>
      </c>
      <c r="F19" s="39">
        <v>493.44900000000001</v>
      </c>
      <c r="G19" s="39">
        <v>325.39</v>
      </c>
      <c r="H19" s="39">
        <v>314.34199999999998</v>
      </c>
      <c r="I19" s="39">
        <v>469.8</v>
      </c>
      <c r="J19" s="92">
        <v>563.10500000000002</v>
      </c>
      <c r="K19" s="39">
        <v>915.74</v>
      </c>
      <c r="L19" s="39">
        <v>882.13499999999999</v>
      </c>
      <c r="M19" s="39">
        <v>736.36300000000006</v>
      </c>
      <c r="N19" s="39">
        <v>160.78</v>
      </c>
      <c r="O19" s="141">
        <v>527.95299999999997</v>
      </c>
      <c r="P19" s="32">
        <f>SUM(D19:O19)</f>
        <v>6152.4060000000009</v>
      </c>
      <c r="R19" s="56">
        <f>P19/P$21</f>
        <v>0.32623845110169009</v>
      </c>
    </row>
    <row r="20" spans="1:18" ht="19.5" customHeight="1" thickBot="1">
      <c r="A20" s="3"/>
      <c r="B20" s="203"/>
      <c r="C20" s="65" t="s">
        <v>25</v>
      </c>
      <c r="D20" s="20">
        <v>1649.0519999999999</v>
      </c>
      <c r="E20" s="20">
        <v>664.21600000000001</v>
      </c>
      <c r="F20" s="20">
        <v>1248.777</v>
      </c>
      <c r="G20" s="20">
        <v>1074.8989999999999</v>
      </c>
      <c r="H20" s="20">
        <v>974.06600000000003</v>
      </c>
      <c r="I20" s="20">
        <v>788.05700000000002</v>
      </c>
      <c r="J20" s="93">
        <v>1157.1869999999999</v>
      </c>
      <c r="K20" s="20">
        <v>1529.289</v>
      </c>
      <c r="L20" s="20">
        <v>1700.587</v>
      </c>
      <c r="M20" s="20">
        <v>1056.375</v>
      </c>
      <c r="N20" s="20">
        <v>195.88</v>
      </c>
      <c r="O20" s="123">
        <v>668.56399999999996</v>
      </c>
      <c r="P20" s="31">
        <f>SUM(D20:O20)</f>
        <v>12706.948999999999</v>
      </c>
      <c r="R20" s="57">
        <f>P20/P$21</f>
        <v>0.67380068220272993</v>
      </c>
    </row>
    <row r="21" spans="1:18" ht="19.5" customHeight="1" thickBot="1">
      <c r="A21" s="3"/>
      <c r="B21" s="204"/>
      <c r="C21" s="66" t="s">
        <v>26</v>
      </c>
      <c r="D21" s="46">
        <f t="shared" ref="D21:L21" si="11">SUM(D19:D20)</f>
        <v>2092.1189999999997</v>
      </c>
      <c r="E21" s="46">
        <f t="shared" si="11"/>
        <v>984.49800000000005</v>
      </c>
      <c r="F21" s="46">
        <f t="shared" si="11"/>
        <v>1742.2260000000001</v>
      </c>
      <c r="G21" s="46">
        <f t="shared" si="11"/>
        <v>1400.2889999999998</v>
      </c>
      <c r="H21" s="46">
        <f t="shared" si="11"/>
        <v>1288.4079999999999</v>
      </c>
      <c r="I21" s="46">
        <f t="shared" si="11"/>
        <v>1257.857</v>
      </c>
      <c r="J21" s="94">
        <f t="shared" si="11"/>
        <v>1720.2919999999999</v>
      </c>
      <c r="K21" s="94">
        <f t="shared" si="11"/>
        <v>2445.029</v>
      </c>
      <c r="L21" s="94">
        <f t="shared" si="11"/>
        <v>2582.7219999999998</v>
      </c>
      <c r="M21" s="46">
        <v>1792</v>
      </c>
      <c r="N21" s="46">
        <f>N19+N20</f>
        <v>356.65999999999997</v>
      </c>
      <c r="O21" s="125">
        <f>O20+O19</f>
        <v>1196.5169999999998</v>
      </c>
      <c r="P21" s="97">
        <f>SUM(D21:O21)</f>
        <v>18858.616999999998</v>
      </c>
      <c r="R21" s="55" t="s">
        <v>44</v>
      </c>
    </row>
    <row r="22" spans="1:18" ht="6" customHeight="1" thickBot="1">
      <c r="A22" s="3"/>
      <c r="B22" s="102"/>
      <c r="C22" s="103"/>
      <c r="D22" s="104"/>
      <c r="E22" s="104"/>
      <c r="F22" s="104"/>
      <c r="G22" s="104"/>
      <c r="H22" s="104"/>
      <c r="I22" s="104"/>
      <c r="J22" s="104"/>
      <c r="K22" s="104"/>
      <c r="L22" s="104"/>
      <c r="M22" s="104"/>
      <c r="N22" s="104"/>
      <c r="O22" s="104"/>
      <c r="P22" s="104"/>
      <c r="R22" s="55"/>
    </row>
    <row r="23" spans="1:18" ht="19.5" customHeight="1" thickBot="1">
      <c r="A23" s="3"/>
      <c r="C23" s="109" t="s">
        <v>46</v>
      </c>
      <c r="D23" s="110">
        <f t="shared" ref="D23:P23" si="12">D19/D21</f>
        <v>0.21177906228087412</v>
      </c>
      <c r="E23" s="110">
        <f t="shared" si="12"/>
        <v>0.32532519111262792</v>
      </c>
      <c r="F23" s="110">
        <f t="shared" si="12"/>
        <v>0.28322904146763966</v>
      </c>
      <c r="G23" s="110">
        <f t="shared" si="12"/>
        <v>0.23237346005003257</v>
      </c>
      <c r="H23" s="110">
        <f t="shared" si="12"/>
        <v>0.2439770631663262</v>
      </c>
      <c r="I23" s="110">
        <f t="shared" si="12"/>
        <v>0.37349237631940674</v>
      </c>
      <c r="J23" s="110">
        <f t="shared" si="12"/>
        <v>0.32733105775066096</v>
      </c>
      <c r="K23" s="110">
        <f t="shared" si="12"/>
        <v>0.37453134502699148</v>
      </c>
      <c r="L23" s="110">
        <f t="shared" si="12"/>
        <v>0.34155243963539245</v>
      </c>
      <c r="M23" s="110">
        <f t="shared" si="12"/>
        <v>0.41091685267857148</v>
      </c>
      <c r="N23" s="110">
        <f t="shared" si="12"/>
        <v>0.45079347277519211</v>
      </c>
      <c r="O23" s="110">
        <f t="shared" si="12"/>
        <v>0.44124153689416867</v>
      </c>
      <c r="P23" s="110">
        <f t="shared" si="12"/>
        <v>0.32623845110169009</v>
      </c>
      <c r="R23" s="55"/>
    </row>
    <row r="24" spans="1:18" ht="14.25" customHeight="1">
      <c r="A24" s="3"/>
      <c r="B24" s="105"/>
      <c r="C24" s="48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  <c r="O24" s="106"/>
      <c r="P24" s="106"/>
      <c r="R24" s="55"/>
    </row>
    <row r="25" spans="1:18" ht="12.75" customHeight="1">
      <c r="A25" s="1" t="s">
        <v>6</v>
      </c>
    </row>
    <row r="26" spans="1:18">
      <c r="A26" s="1" t="s">
        <v>3</v>
      </c>
      <c r="M26" s="14"/>
    </row>
    <row r="27" spans="1:18">
      <c r="L27" s="14"/>
    </row>
    <row r="29" spans="1:18">
      <c r="C29" s="14" t="e">
        <f>#REF!</f>
        <v>#REF!</v>
      </c>
    </row>
    <row r="30" spans="1:18">
      <c r="B30" s="1" t="s">
        <v>12</v>
      </c>
      <c r="C30" s="14" t="e">
        <f>#REF!</f>
        <v>#REF!</v>
      </c>
    </row>
    <row r="31" spans="1:18">
      <c r="B31" s="1" t="s">
        <v>11</v>
      </c>
    </row>
  </sheetData>
  <mergeCells count="2">
    <mergeCell ref="B19:B21"/>
    <mergeCell ref="B5:B17"/>
  </mergeCells>
  <pageMargins left="0.39370078740157483" right="0.19685039370078741" top="0.59055118110236227" bottom="0.39370078740157483" header="0.51181102362204722" footer="0.51181102362204722"/>
  <pageSetup paperSize="9" scale="3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26"/>
  <sheetViews>
    <sheetView zoomScale="55" zoomScaleNormal="55" workbookViewId="0">
      <pane xSplit="3" ySplit="4" topLeftCell="H5" activePane="bottomRight" state="frozen"/>
      <selection pane="topRight" activeCell="D1" sqref="D1"/>
      <selection pane="bottomLeft" activeCell="A4" sqref="A4"/>
      <selection pane="bottomRight" activeCell="C29" sqref="C29"/>
    </sheetView>
  </sheetViews>
  <sheetFormatPr defaultRowHeight="12.75"/>
  <cols>
    <col min="1" max="1" width="4.375" style="1" customWidth="1"/>
    <col min="2" max="2" width="18.375" style="1" customWidth="1"/>
    <col min="3" max="3" width="35.375" style="1" customWidth="1"/>
    <col min="4" max="15" width="9.125" style="1" customWidth="1"/>
    <col min="16" max="16" width="10.625" style="1" customWidth="1"/>
    <col min="17" max="17" width="1.875" style="1" customWidth="1"/>
    <col min="18" max="18" width="8.75" style="1" customWidth="1"/>
    <col min="19" max="16384" width="9" style="1"/>
  </cols>
  <sheetData>
    <row r="1" spans="1:18" ht="41.25" customHeight="1" thickBot="1">
      <c r="B1" s="6" t="s">
        <v>4</v>
      </c>
      <c r="G1" s="1">
        <v>1000</v>
      </c>
      <c r="J1" s="1">
        <v>1000</v>
      </c>
      <c r="P1" s="34" t="s">
        <v>16</v>
      </c>
      <c r="Q1" s="1">
        <v>60</v>
      </c>
    </row>
    <row r="2" spans="1:18" ht="15" customHeight="1" thickBot="1">
      <c r="B2" s="6"/>
      <c r="C2" s="1" t="s">
        <v>64</v>
      </c>
      <c r="P2" s="35">
        <v>0.47</v>
      </c>
      <c r="Q2" s="33"/>
      <c r="R2" s="33"/>
    </row>
    <row r="3" spans="1:18" s="5" customFormat="1" ht="18" customHeight="1" thickBot="1">
      <c r="A3" s="4"/>
      <c r="B3" s="76"/>
      <c r="C3" s="13"/>
      <c r="D3" s="87">
        <v>41640</v>
      </c>
      <c r="E3" s="87">
        <v>41671</v>
      </c>
      <c r="F3" s="87">
        <v>41699</v>
      </c>
      <c r="G3" s="87">
        <v>41730</v>
      </c>
      <c r="H3" s="87">
        <v>41760</v>
      </c>
      <c r="I3" s="87">
        <v>41791</v>
      </c>
      <c r="J3" s="87">
        <v>41821</v>
      </c>
      <c r="K3" s="87">
        <v>41852</v>
      </c>
      <c r="L3" s="87">
        <v>41883</v>
      </c>
      <c r="M3" s="87">
        <v>41913</v>
      </c>
      <c r="N3" s="87">
        <v>41944</v>
      </c>
      <c r="O3" s="87">
        <v>41974</v>
      </c>
      <c r="P3" s="88" t="s">
        <v>18</v>
      </c>
    </row>
    <row r="4" spans="1:18" s="5" customFormat="1" ht="19.5" customHeight="1" thickBot="1">
      <c r="A4" s="4"/>
      <c r="B4" s="101"/>
      <c r="C4" s="85" t="s">
        <v>47</v>
      </c>
      <c r="D4" s="86">
        <v>21</v>
      </c>
      <c r="E4" s="86">
        <v>23</v>
      </c>
      <c r="F4" s="86">
        <v>26</v>
      </c>
      <c r="G4" s="86">
        <v>20</v>
      </c>
      <c r="H4" s="86">
        <v>25</v>
      </c>
      <c r="I4" s="86">
        <v>23</v>
      </c>
      <c r="J4" s="90">
        <v>26</v>
      </c>
      <c r="K4" s="90">
        <v>26</v>
      </c>
      <c r="L4" s="90">
        <v>20</v>
      </c>
      <c r="M4" s="90">
        <v>27</v>
      </c>
      <c r="N4" s="90">
        <v>21</v>
      </c>
      <c r="O4" s="90">
        <v>27</v>
      </c>
      <c r="P4" s="86">
        <f>SUM(D4:O4)</f>
        <v>285</v>
      </c>
    </row>
    <row r="5" spans="1:18" ht="19.5" customHeight="1">
      <c r="A5" s="3"/>
      <c r="B5" s="199" t="s">
        <v>56</v>
      </c>
      <c r="C5" s="58" t="s">
        <v>0</v>
      </c>
      <c r="D5" s="16">
        <f t="shared" ref="D5:O5" si="0">D10/D13</f>
        <v>0.31612385017063444</v>
      </c>
      <c r="E5" s="16">
        <f t="shared" si="0"/>
        <v>0.26441341027967036</v>
      </c>
      <c r="F5" s="16">
        <f t="shared" si="0"/>
        <v>0.33106218299266876</v>
      </c>
      <c r="G5" s="16">
        <f t="shared" si="0"/>
        <v>0.45052710945282975</v>
      </c>
      <c r="H5" s="16">
        <f t="shared" si="0"/>
        <v>0.39940684280665173</v>
      </c>
      <c r="I5" s="16">
        <f t="shared" si="0"/>
        <v>0.42913684318083123</v>
      </c>
      <c r="J5" s="36">
        <f t="shared" si="0"/>
        <v>0.44915404248312196</v>
      </c>
      <c r="K5" s="36">
        <f t="shared" si="0"/>
        <v>0.53844899728692341</v>
      </c>
      <c r="L5" s="36">
        <f t="shared" si="0"/>
        <v>0.35760392129113677</v>
      </c>
      <c r="M5" s="36">
        <f t="shared" si="0"/>
        <v>0.40232814496636032</v>
      </c>
      <c r="N5" s="36">
        <f t="shared" si="0"/>
        <v>0.43149404529480678</v>
      </c>
      <c r="O5" s="36">
        <f t="shared" si="0"/>
        <v>0.50798720871569891</v>
      </c>
      <c r="P5" s="25">
        <f>P10/P13</f>
        <v>0.41883348869499248</v>
      </c>
    </row>
    <row r="6" spans="1:18" ht="19.5" customHeight="1">
      <c r="A6" s="3"/>
      <c r="B6" s="200"/>
      <c r="C6" s="59" t="s">
        <v>19</v>
      </c>
      <c r="D6" s="37">
        <v>56.616999999999997</v>
      </c>
      <c r="E6" s="37">
        <v>71.683000000000007</v>
      </c>
      <c r="F6" s="37">
        <v>106.623</v>
      </c>
      <c r="G6" s="37">
        <v>112.99299999999999</v>
      </c>
      <c r="H6" s="37">
        <v>145.93</v>
      </c>
      <c r="I6" s="18">
        <v>205.85599999999999</v>
      </c>
      <c r="J6" s="37">
        <v>171.71299999999999</v>
      </c>
      <c r="K6" s="18">
        <v>217.53299999999999</v>
      </c>
      <c r="L6" s="18">
        <v>119.526</v>
      </c>
      <c r="M6" s="18">
        <v>266.12900000000002</v>
      </c>
      <c r="N6" s="18">
        <v>268.95299999999997</v>
      </c>
      <c r="O6" s="122">
        <v>339.255</v>
      </c>
      <c r="P6" s="26">
        <f>SUM(D6:O6)</f>
        <v>2082.8110000000001</v>
      </c>
    </row>
    <row r="7" spans="1:18" ht="19.5" hidden="1" customHeight="1">
      <c r="A7" s="3"/>
      <c r="B7" s="200"/>
      <c r="C7" s="59" t="s">
        <v>14</v>
      </c>
      <c r="D7" s="37"/>
      <c r="E7" s="37"/>
      <c r="F7" s="82">
        <v>5</v>
      </c>
      <c r="G7" s="37">
        <v>11</v>
      </c>
      <c r="H7" s="37">
        <v>24</v>
      </c>
      <c r="I7" s="18">
        <v>26</v>
      </c>
      <c r="J7" s="37">
        <v>37</v>
      </c>
      <c r="K7" s="18">
        <v>30</v>
      </c>
      <c r="L7" s="18">
        <v>24</v>
      </c>
      <c r="M7" s="18">
        <v>45</v>
      </c>
      <c r="N7" s="18">
        <v>67</v>
      </c>
      <c r="O7" s="122">
        <v>116</v>
      </c>
      <c r="P7" s="26">
        <f>AVERAGE(D7:O7)</f>
        <v>38.5</v>
      </c>
    </row>
    <row r="8" spans="1:18" ht="19.5" hidden="1" customHeight="1">
      <c r="A8" s="3"/>
      <c r="B8" s="200"/>
      <c r="C8" s="59" t="s">
        <v>15</v>
      </c>
      <c r="D8" s="37"/>
      <c r="E8" s="37"/>
      <c r="F8" s="82">
        <v>3</v>
      </c>
      <c r="G8" s="37">
        <v>6</v>
      </c>
      <c r="H8" s="37">
        <v>14</v>
      </c>
      <c r="I8" s="18">
        <v>12</v>
      </c>
      <c r="J8" s="37">
        <v>19</v>
      </c>
      <c r="K8" s="18">
        <v>16</v>
      </c>
      <c r="L8" s="18">
        <v>13</v>
      </c>
      <c r="M8" s="18">
        <v>30</v>
      </c>
      <c r="N8" s="18">
        <v>29</v>
      </c>
      <c r="O8" s="122">
        <v>57</v>
      </c>
      <c r="P8" s="26">
        <f>AVERAGE(D8:O8)</f>
        <v>19.899999999999999</v>
      </c>
    </row>
    <row r="9" spans="1:18" ht="19.5" hidden="1" customHeight="1">
      <c r="A9" s="3"/>
      <c r="B9" s="200"/>
      <c r="C9" s="60" t="s">
        <v>59</v>
      </c>
      <c r="D9" s="38"/>
      <c r="E9" s="38"/>
      <c r="F9" s="156">
        <f>F6/F7</f>
        <v>21.3246</v>
      </c>
      <c r="G9" s="156">
        <f t="shared" ref="G9:O9" si="1">G6/G7</f>
        <v>10.272090909090908</v>
      </c>
      <c r="H9" s="156">
        <f t="shared" si="1"/>
        <v>6.0804166666666672</v>
      </c>
      <c r="I9" s="156">
        <f t="shared" si="1"/>
        <v>7.9175384615384612</v>
      </c>
      <c r="J9" s="156">
        <f t="shared" si="1"/>
        <v>4.6408918918918918</v>
      </c>
      <c r="K9" s="156">
        <f t="shared" si="1"/>
        <v>7.2510999999999992</v>
      </c>
      <c r="L9" s="156">
        <f t="shared" si="1"/>
        <v>4.9802499999999998</v>
      </c>
      <c r="M9" s="156">
        <f t="shared" si="1"/>
        <v>5.9139777777777782</v>
      </c>
      <c r="N9" s="156">
        <f t="shared" si="1"/>
        <v>4.0142238805970143</v>
      </c>
      <c r="O9" s="156">
        <f t="shared" si="1"/>
        <v>2.9246120689655171</v>
      </c>
      <c r="P9" s="26">
        <f>AVERAGE(D9:O9)</f>
        <v>7.5319701656528242</v>
      </c>
    </row>
    <row r="10" spans="1:18" ht="19.5" customHeight="1">
      <c r="A10" s="3"/>
      <c r="B10" s="200"/>
      <c r="C10" s="60" t="s">
        <v>21</v>
      </c>
      <c r="D10" s="37">
        <v>768.84481600000004</v>
      </c>
      <c r="E10" s="37">
        <v>821.97139200000004</v>
      </c>
      <c r="F10" s="37">
        <v>1329.439787</v>
      </c>
      <c r="G10" s="37">
        <v>1438.1095649999997</v>
      </c>
      <c r="H10" s="37">
        <v>1792.2743020000007</v>
      </c>
      <c r="I10" s="18">
        <v>1679.942</v>
      </c>
      <c r="J10" s="37">
        <v>1963.953</v>
      </c>
      <c r="K10" s="18">
        <v>2584.0059689999994</v>
      </c>
      <c r="L10" s="18">
        <v>1212.8995240000002</v>
      </c>
      <c r="M10" s="18">
        <v>2613.2420000000002</v>
      </c>
      <c r="N10" s="18">
        <v>2652.1350000000002</v>
      </c>
      <c r="O10" s="122">
        <v>3181.8490000000002</v>
      </c>
      <c r="P10" s="27">
        <f>SUM(D10:O10)</f>
        <v>22038.666355000001</v>
      </c>
    </row>
    <row r="11" spans="1:18" ht="19.5" customHeight="1">
      <c r="A11" s="3"/>
      <c r="B11" s="200"/>
      <c r="C11" s="60" t="s">
        <v>8</v>
      </c>
      <c r="D11" s="37">
        <v>194.61904761904762</v>
      </c>
      <c r="E11" s="37">
        <v>229.56521739130434</v>
      </c>
      <c r="F11" s="37">
        <v>270.95999999999998</v>
      </c>
      <c r="G11" s="37">
        <v>289.57894736842104</v>
      </c>
      <c r="H11" s="37">
        <v>312.76</v>
      </c>
      <c r="I11" s="18">
        <v>301</v>
      </c>
      <c r="J11" s="37">
        <v>295</v>
      </c>
      <c r="K11" s="18">
        <v>314.38461538461536</v>
      </c>
      <c r="L11" s="18">
        <v>298</v>
      </c>
      <c r="M11" s="18">
        <v>404</v>
      </c>
      <c r="N11" s="18">
        <v>425</v>
      </c>
      <c r="O11" s="122">
        <v>443</v>
      </c>
      <c r="P11" s="81">
        <f>AVERAGE(D11:O11)</f>
        <v>314.82231898028238</v>
      </c>
    </row>
    <row r="12" spans="1:18" ht="19.5" hidden="1" customHeight="1">
      <c r="A12" s="3"/>
      <c r="B12" s="200"/>
      <c r="C12" s="60" t="s">
        <v>7</v>
      </c>
      <c r="D12" s="19">
        <f>D11/630</f>
        <v>0.3089191232048375</v>
      </c>
      <c r="E12" s="19">
        <f t="shared" ref="E12:O12" si="2">E11/630</f>
        <v>0.36438923395445133</v>
      </c>
      <c r="F12" s="19">
        <f t="shared" si="2"/>
        <v>0.43009523809523809</v>
      </c>
      <c r="G12" s="19">
        <f t="shared" si="2"/>
        <v>0.45964912280701753</v>
      </c>
      <c r="H12" s="19">
        <f t="shared" si="2"/>
        <v>0.49644444444444441</v>
      </c>
      <c r="I12" s="19">
        <f t="shared" si="2"/>
        <v>0.4777777777777778</v>
      </c>
      <c r="J12" s="19">
        <f t="shared" si="2"/>
        <v>0.46825396825396826</v>
      </c>
      <c r="K12" s="19">
        <f t="shared" si="2"/>
        <v>0.49902319902319897</v>
      </c>
      <c r="L12" s="19">
        <f t="shared" si="2"/>
        <v>0.473015873015873</v>
      </c>
      <c r="M12" s="19">
        <f t="shared" si="2"/>
        <v>0.64126984126984132</v>
      </c>
      <c r="N12" s="19">
        <f t="shared" si="2"/>
        <v>0.67460317460317465</v>
      </c>
      <c r="O12" s="19">
        <f t="shared" si="2"/>
        <v>0.70317460317460323</v>
      </c>
      <c r="P12" s="19">
        <f>P11/556</f>
        <v>0.56622719241057984</v>
      </c>
    </row>
    <row r="13" spans="1:18" ht="19.5" customHeight="1">
      <c r="A13" s="3"/>
      <c r="B13" s="200"/>
      <c r="C13" s="60" t="s">
        <v>20</v>
      </c>
      <c r="D13" s="18">
        <v>2432.1</v>
      </c>
      <c r="E13" s="37">
        <v>3108.66</v>
      </c>
      <c r="F13" s="37">
        <v>4015.68</v>
      </c>
      <c r="G13" s="18">
        <v>3192.06</v>
      </c>
      <c r="H13" s="18">
        <v>4487.34</v>
      </c>
      <c r="I13" s="18">
        <v>3914.7</v>
      </c>
      <c r="J13" s="37">
        <v>4372.5600000000004</v>
      </c>
      <c r="K13" s="18">
        <v>4798.9799999999996</v>
      </c>
      <c r="L13" s="18">
        <v>3391.74</v>
      </c>
      <c r="M13" s="18">
        <v>6495.3</v>
      </c>
      <c r="N13" s="18">
        <v>6146.4</v>
      </c>
      <c r="O13" s="122">
        <v>6263.64</v>
      </c>
      <c r="P13" s="27">
        <f>SUM(D13:O13)</f>
        <v>52619.16</v>
      </c>
    </row>
    <row r="14" spans="1:18" ht="19.5" customHeight="1">
      <c r="A14" s="3"/>
      <c r="B14" s="200"/>
      <c r="C14" s="60" t="s">
        <v>9</v>
      </c>
      <c r="D14" s="21">
        <f t="shared" ref="D14:O14" si="3">D10/D6</f>
        <v>13.579751947294984</v>
      </c>
      <c r="E14" s="21">
        <f t="shared" si="3"/>
        <v>11.46675490702119</v>
      </c>
      <c r="F14" s="21">
        <f t="shared" si="3"/>
        <v>12.468602337206793</v>
      </c>
      <c r="G14" s="21">
        <f t="shared" si="3"/>
        <v>12.727421742939827</v>
      </c>
      <c r="H14" s="21">
        <f t="shared" si="3"/>
        <v>12.281739888987875</v>
      </c>
      <c r="I14" s="73">
        <f t="shared" si="3"/>
        <v>8.1607628633607963</v>
      </c>
      <c r="J14" s="78">
        <f t="shared" si="3"/>
        <v>11.437415920751487</v>
      </c>
      <c r="K14" s="78">
        <f t="shared" si="3"/>
        <v>11.878684930562258</v>
      </c>
      <c r="L14" s="78">
        <f t="shared" si="3"/>
        <v>10.147578970265885</v>
      </c>
      <c r="M14" s="78">
        <f t="shared" si="3"/>
        <v>9.8194559781158759</v>
      </c>
      <c r="N14" s="78">
        <f t="shared" si="3"/>
        <v>9.8609608370235708</v>
      </c>
      <c r="O14" s="78">
        <f t="shared" si="3"/>
        <v>9.378930303164287</v>
      </c>
      <c r="P14" s="28">
        <f>P10/P6</f>
        <v>10.581212772066213</v>
      </c>
    </row>
    <row r="15" spans="1:18" ht="19.5" customHeight="1">
      <c r="A15" s="3"/>
      <c r="B15" s="200"/>
      <c r="C15" s="60" t="s">
        <v>22</v>
      </c>
      <c r="D15" s="37">
        <v>214.79656999999995</v>
      </c>
      <c r="E15" s="37">
        <v>298.56140000000005</v>
      </c>
      <c r="F15" s="37">
        <v>456.39381999999995</v>
      </c>
      <c r="G15" s="37">
        <v>480.02390999999994</v>
      </c>
      <c r="H15" s="37">
        <v>729.59544000000005</v>
      </c>
      <c r="I15" s="18">
        <v>995.125</v>
      </c>
      <c r="J15" s="37">
        <v>967.17700000000002</v>
      </c>
      <c r="K15" s="18">
        <v>1218.8388799999998</v>
      </c>
      <c r="L15" s="18">
        <v>602.92094999999995</v>
      </c>
      <c r="M15" s="18">
        <v>1359.90587</v>
      </c>
      <c r="N15" s="18">
        <v>1408.70776</v>
      </c>
      <c r="O15" s="122">
        <v>1884.4051300000001</v>
      </c>
      <c r="P15" s="27">
        <f>SUM(D15:O15)</f>
        <v>10616.451730000001</v>
      </c>
    </row>
    <row r="16" spans="1:18" ht="19.5" customHeight="1">
      <c r="A16" s="3"/>
      <c r="B16" s="200"/>
      <c r="C16" s="61" t="s">
        <v>10</v>
      </c>
      <c r="D16" s="22">
        <f t="shared" ref="D16:H16" si="4">D15/D6</f>
        <v>3.7938529063708772</v>
      </c>
      <c r="E16" s="22">
        <f t="shared" si="4"/>
        <v>4.1650237852768441</v>
      </c>
      <c r="F16" s="22">
        <f>F15/F6</f>
        <v>4.2804443694137282</v>
      </c>
      <c r="G16" s="22">
        <f t="shared" si="4"/>
        <v>4.2482623702353237</v>
      </c>
      <c r="H16" s="22">
        <f t="shared" si="4"/>
        <v>4.9996261221133418</v>
      </c>
      <c r="I16" s="22">
        <f>I15/I6</f>
        <v>4.8340830483444739</v>
      </c>
      <c r="J16" s="79">
        <f>J15/J6</f>
        <v>5.6325205429990746</v>
      </c>
      <c r="K16" s="79">
        <f t="shared" ref="K16:O16" si="5">K15/K6</f>
        <v>5.6030068081624389</v>
      </c>
      <c r="L16" s="79">
        <f t="shared" si="5"/>
        <v>5.0442661010993417</v>
      </c>
      <c r="M16" s="79">
        <f t="shared" si="5"/>
        <v>5.1099499490848421</v>
      </c>
      <c r="N16" s="79">
        <f t="shared" si="5"/>
        <v>5.2377469669421801</v>
      </c>
      <c r="O16" s="79">
        <f t="shared" si="5"/>
        <v>5.5545390045835736</v>
      </c>
      <c r="P16" s="29">
        <f t="shared" ref="P16" si="6">P15/P6</f>
        <v>5.0971747940643679</v>
      </c>
    </row>
    <row r="17" spans="1:18" ht="19.5" customHeight="1" thickBot="1">
      <c r="A17" s="3"/>
      <c r="B17" s="201"/>
      <c r="C17" s="62" t="s">
        <v>23</v>
      </c>
      <c r="D17" s="23">
        <f t="shared" ref="D17:H17" si="7">D15/D$4</f>
        <v>10.228408095238093</v>
      </c>
      <c r="E17" s="23">
        <f t="shared" si="7"/>
        <v>12.980930434782611</v>
      </c>
      <c r="F17" s="23">
        <f t="shared" si="7"/>
        <v>17.55360846153846</v>
      </c>
      <c r="G17" s="23">
        <f t="shared" si="7"/>
        <v>24.001195499999998</v>
      </c>
      <c r="H17" s="23">
        <f t="shared" si="7"/>
        <v>29.183817600000001</v>
      </c>
      <c r="I17" s="23">
        <f>I15/I$4</f>
        <v>43.266304347826086</v>
      </c>
      <c r="J17" s="23">
        <f t="shared" ref="J17:M17" si="8">J15/J$4</f>
        <v>37.199115384615382</v>
      </c>
      <c r="K17" s="23">
        <f t="shared" si="8"/>
        <v>46.878418461538452</v>
      </c>
      <c r="L17" s="23">
        <f t="shared" si="8"/>
        <v>30.146047499999998</v>
      </c>
      <c r="M17" s="23">
        <f t="shared" si="8"/>
        <v>50.366884074074079</v>
      </c>
      <c r="N17" s="23">
        <f>N15/N$4</f>
        <v>67.081321904761907</v>
      </c>
      <c r="O17" s="23">
        <f>O15/O$4</f>
        <v>69.792782592592602</v>
      </c>
      <c r="P17" s="30">
        <f t="shared" ref="P17" si="9">P15/P$4</f>
        <v>37.250707824561403</v>
      </c>
    </row>
    <row r="18" spans="1:18" ht="4.5" customHeight="1">
      <c r="A18" s="107"/>
      <c r="B18" s="105"/>
      <c r="C18" s="48"/>
      <c r="D18" s="108"/>
      <c r="E18" s="108"/>
      <c r="F18" s="108"/>
      <c r="G18" s="108"/>
      <c r="H18" s="108"/>
      <c r="I18" s="108"/>
      <c r="J18" s="108"/>
      <c r="K18" s="108"/>
      <c r="L18" s="108"/>
      <c r="M18" s="108"/>
      <c r="N18" s="108"/>
      <c r="O18" s="108"/>
      <c r="P18" s="106"/>
      <c r="Q18" s="107"/>
      <c r="R18" s="118"/>
    </row>
    <row r="19" spans="1:18" ht="19.5" hidden="1" customHeight="1" thickBot="1">
      <c r="A19" s="3"/>
      <c r="B19" s="142" t="s">
        <v>42</v>
      </c>
      <c r="C19" s="143" t="s">
        <v>45</v>
      </c>
      <c r="D19" s="144">
        <v>40.366</v>
      </c>
      <c r="E19" s="144">
        <v>50.024000000000001</v>
      </c>
      <c r="F19" s="144">
        <v>63.405999999999999</v>
      </c>
      <c r="G19" s="144">
        <v>148.446</v>
      </c>
      <c r="H19" s="144">
        <v>86.174999999999997</v>
      </c>
      <c r="I19" s="144">
        <v>84.763999999999996</v>
      </c>
      <c r="J19" s="145">
        <v>72.861999999999995</v>
      </c>
      <c r="K19" s="144">
        <v>65.608999999999995</v>
      </c>
      <c r="L19" s="144">
        <v>44.963999999999999</v>
      </c>
      <c r="M19" s="144"/>
      <c r="N19" s="144"/>
      <c r="O19" s="127"/>
      <c r="P19" s="146"/>
    </row>
    <row r="20" spans="1:18" ht="12.75" customHeight="1">
      <c r="A20" s="1" t="s">
        <v>6</v>
      </c>
    </row>
    <row r="21" spans="1:18">
      <c r="A21" s="1" t="s">
        <v>3</v>
      </c>
    </row>
    <row r="24" spans="1:18">
      <c r="C24" s="14" t="e">
        <f>#REF!</f>
        <v>#REF!</v>
      </c>
    </row>
    <row r="25" spans="1:18">
      <c r="B25" s="1" t="s">
        <v>12</v>
      </c>
      <c r="C25" s="14" t="e">
        <f>#REF!</f>
        <v>#REF!</v>
      </c>
    </row>
    <row r="26" spans="1:18">
      <c r="B26" s="1" t="s">
        <v>11</v>
      </c>
    </row>
  </sheetData>
  <mergeCells count="1">
    <mergeCell ref="B5:B17"/>
  </mergeCells>
  <pageMargins left="0.39370078740157483" right="0.19685039370078741" top="0.59055118110236227" bottom="0.39370078740157483" header="0.51181102362204722" footer="0.51181102362204722"/>
  <pageSetup paperSize="9" scale="3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OVERALL</vt:lpstr>
      <vt:lpstr>Bright Sky</vt:lpstr>
      <vt:lpstr>BTE</vt:lpstr>
      <vt:lpstr>VESTALLE</vt:lpstr>
      <vt:lpstr>YTI</vt:lpstr>
    </vt:vector>
  </TitlesOfParts>
  <Company>yt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Finance Team</dc:creator>
  <cp:lastModifiedBy>Gilberto Tongco</cp:lastModifiedBy>
  <cp:lastPrinted>2013-09-23T06:45:12Z</cp:lastPrinted>
  <dcterms:created xsi:type="dcterms:W3CDTF">2008-01-09T02:21:17Z</dcterms:created>
  <dcterms:modified xsi:type="dcterms:W3CDTF">2016-01-08T08:24:49Z</dcterms:modified>
</cp:coreProperties>
</file>