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9ba3f78e489e6908/Dokumente/EPFL/12_Master_Thesis/08_OpenSees_Model/Model_visualisation/"/>
    </mc:Choice>
  </mc:AlternateContent>
  <xr:revisionPtr revIDLastSave="8594" documentId="11_AD4DB114E441178AC67DF43A3ED6DF7E683EDF19" xr6:coauthVersionLast="47" xr6:coauthVersionMax="47" xr10:uidLastSave="{7C281467-6D57-4A57-909E-7051A66B0E83}"/>
  <bookViews>
    <workbookView xWindow="28680" yWindow="-120" windowWidth="25440" windowHeight="15390" tabRatio="731" firstSheet="9" activeTab="9" xr2:uid="{00000000-000D-0000-FFFF-FFFF00000000}"/>
  </bookViews>
  <sheets>
    <sheet name="TCL_Nodes" sheetId="2" r:id="rId1"/>
    <sheet name="TCL_Macroelements" sheetId="1" r:id="rId2"/>
    <sheet name="TCL_Sections" sheetId="7" r:id="rId3"/>
    <sheet name="TCL_Shells" sheetId="6" r:id="rId4"/>
    <sheet name="TCL_RingBeam" sheetId="16" r:id="rId5"/>
    <sheet name="TCL_Constraints" sheetId="3" r:id="rId6"/>
    <sheet name="TCL_Connections" sheetId="4" r:id="rId7"/>
    <sheet name="TCL_Nodal masses" sheetId="5" r:id="rId8"/>
    <sheet name="TCL_Self-weight" sheetId="17" r:id="rId9"/>
    <sheet name="Check Wall Masses" sheetId="18" r:id="rId10"/>
    <sheet name="B_Surface loads" sheetId="10" r:id="rId11"/>
    <sheet name="B_Material properties" sheetId="12" r:id="rId12"/>
    <sheet name="M_Nodes" sheetId="25" r:id="rId13"/>
    <sheet name="M_Floor" sheetId="11" r:id="rId14"/>
    <sheet name="M_Roof" sheetId="13" r:id="rId15"/>
    <sheet name="M_Filling material" sheetId="15" r:id="rId16"/>
    <sheet name="P_Slabs above FF" sheetId="8" r:id="rId17"/>
    <sheet name="L_Nodes" sheetId="26" r:id="rId18"/>
    <sheet name="L_Floor" sheetId="22" r:id="rId19"/>
    <sheet name="L_Roof" sheetId="23" r:id="rId20"/>
    <sheet name="L_Filling material" sheetId="24" r:id="rId21"/>
    <sheet name="L_OOPWalls" sheetId="27" r:id="rId22"/>
    <sheet name="P_Vaults above GF" sheetId="9" r:id="rId23"/>
  </sheets>
  <definedNames>
    <definedName name="_xlnm._FilterDatabase" localSheetId="9" hidden="1">'Check Wall Masses'!$A$10:$A$67</definedName>
    <definedName name="_xlnm.Print_Area" localSheetId="20">'L_Filling material'!$A$1:$K$31</definedName>
    <definedName name="_xlnm.Print_Area" localSheetId="18">L_Floor!$A$1:$I$57</definedName>
    <definedName name="_xlnm.Print_Area" localSheetId="13">M_Floor!$A$1:$S$37</definedName>
    <definedName name="_xlnm.Print_Area" localSheetId="14">M_Roof!$A$1:$I$34</definedName>
    <definedName name="_xlnm.Print_Area" localSheetId="16">'P_Slabs above FF'!$A$1:$L$18</definedName>
    <definedName name="_xlnm.Print_Area" localSheetId="22">'P_Vaults above GF'!$A$1:$AH$34</definedName>
    <definedName name="_xlnm.Print_Area" localSheetId="1">TCL_Macroelements!$A$1:$AI$145</definedName>
    <definedName name="_xlnm.Print_Area" localSheetId="7">'TCL_Nodal masses'!$A$1:$H$128</definedName>
    <definedName name="_xlnm.Print_Area" localSheetId="0">TCL_Nodes!$A$1:$F$244</definedName>
    <definedName name="_xlnm.Print_Area" localSheetId="8">'TCL_Self-weight'!$A$1:$I$109</definedName>
    <definedName name="ExterneDaten_1" localSheetId="0" hidden="1">TCL_Nodes!#REF!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8" l="1"/>
  <c r="C3" i="9"/>
  <c r="C3" i="27"/>
  <c r="C3" i="24"/>
  <c r="B3" i="23"/>
  <c r="D3" i="22"/>
  <c r="B3" i="26"/>
  <c r="C3" i="15"/>
  <c r="B3" i="13"/>
  <c r="B3" i="11"/>
  <c r="B3" i="25"/>
  <c r="B3" i="12"/>
  <c r="C3" i="10"/>
  <c r="C3" i="18"/>
  <c r="C3" i="17"/>
  <c r="C3" i="5"/>
  <c r="E78" i="4"/>
  <c r="E63" i="4"/>
  <c r="E8" i="4"/>
  <c r="E7" i="4"/>
  <c r="C3" i="4"/>
  <c r="D3" i="3"/>
  <c r="C3" i="16"/>
  <c r="B3" i="6"/>
  <c r="I7" i="6"/>
  <c r="I8" i="6"/>
  <c r="I9" i="6"/>
  <c r="I10" i="6"/>
  <c r="I11" i="6"/>
  <c r="I12" i="6"/>
  <c r="D9" i="15"/>
  <c r="B3" i="7"/>
  <c r="B3" i="1"/>
  <c r="B3" i="2"/>
  <c r="F13" i="4" s="1"/>
  <c r="D10" i="15"/>
  <c r="E10" i="15" a="1"/>
  <c r="E10" i="15" s="1"/>
  <c r="F10" i="15" a="1"/>
  <c r="F10" i="15" s="1"/>
  <c r="G10" i="15" a="1"/>
  <c r="G10" i="15" s="1"/>
  <c r="D11" i="15"/>
  <c r="E11" i="15" a="1"/>
  <c r="E11" i="15" s="1"/>
  <c r="F11" i="15" a="1"/>
  <c r="F11" i="15" s="1"/>
  <c r="G11" i="15" a="1"/>
  <c r="G11" i="15" s="1"/>
  <c r="D12" i="15"/>
  <c r="E12" i="15" a="1"/>
  <c r="E12" i="15" s="1"/>
  <c r="F12" i="15" a="1"/>
  <c r="F12" i="15" s="1"/>
  <c r="G12" i="15" a="1"/>
  <c r="G12" i="15" s="1"/>
  <c r="D13" i="15"/>
  <c r="E13" i="15" a="1"/>
  <c r="E13" i="15" s="1"/>
  <c r="F13" i="15" a="1"/>
  <c r="F13" i="15" s="1"/>
  <c r="G13" i="15" a="1"/>
  <c r="G13" i="15" s="1"/>
  <c r="D14" i="15"/>
  <c r="E14" i="15" a="1"/>
  <c r="E14" i="15" s="1"/>
  <c r="F14" i="15" a="1"/>
  <c r="F14" i="15" s="1"/>
  <c r="G14" i="15" a="1"/>
  <c r="G14" i="15" s="1"/>
  <c r="D15" i="15"/>
  <c r="E15" i="15" a="1"/>
  <c r="E15" i="15" s="1"/>
  <c r="F15" i="15" a="1"/>
  <c r="F15" i="15" s="1"/>
  <c r="G15" i="15" a="1"/>
  <c r="G15" i="15" s="1"/>
  <c r="D16" i="15"/>
  <c r="E16" i="15" a="1"/>
  <c r="E16" i="15" s="1"/>
  <c r="F16" i="15" a="1"/>
  <c r="F16" i="15" s="1"/>
  <c r="G16" i="15" a="1"/>
  <c r="G16" i="15" s="1"/>
  <c r="D17" i="15"/>
  <c r="E17" i="15" a="1"/>
  <c r="E17" i="15" s="1"/>
  <c r="F17" i="15" a="1"/>
  <c r="F17" i="15" s="1"/>
  <c r="G17" i="15" a="1"/>
  <c r="G17" i="15" s="1"/>
  <c r="D18" i="15"/>
  <c r="E18" i="15" a="1"/>
  <c r="E18" i="15" s="1"/>
  <c r="F18" i="15" a="1"/>
  <c r="F18" i="15" s="1"/>
  <c r="G18" i="15" a="1"/>
  <c r="G18" i="15" s="1"/>
  <c r="D19" i="15"/>
  <c r="E19" i="15" a="1"/>
  <c r="E19" i="15" s="1"/>
  <c r="F19" i="15" a="1"/>
  <c r="F19" i="15" s="1"/>
  <c r="G19" i="15" a="1"/>
  <c r="G19" i="15" s="1"/>
  <c r="D20" i="15"/>
  <c r="E20" i="15" a="1"/>
  <c r="E20" i="15" s="1"/>
  <c r="F20" i="15" a="1"/>
  <c r="F20" i="15" s="1"/>
  <c r="G20" i="15" a="1"/>
  <c r="G20" i="15" s="1"/>
  <c r="G9" i="15" a="1"/>
  <c r="G9" i="15" s="1"/>
  <c r="F9" i="15" a="1"/>
  <c r="F9" i="15" s="1"/>
  <c r="E9" i="15" a="1"/>
  <c r="E9" i="15" s="1"/>
  <c r="AE12" i="1"/>
  <c r="AF14" i="1"/>
  <c r="AG16" i="1"/>
  <c r="AE19" i="1"/>
  <c r="AG21" i="1"/>
  <c r="AH23" i="1"/>
  <c r="AF26" i="1"/>
  <c r="AG28" i="1"/>
  <c r="AC31" i="1"/>
  <c r="AH35" i="1"/>
  <c r="AF40" i="1"/>
  <c r="AH43" i="1"/>
  <c r="AH45" i="1"/>
  <c r="AD49" i="1"/>
  <c r="AD51" i="1"/>
  <c r="AH52" i="1"/>
  <c r="AF54" i="1"/>
  <c r="AF56" i="1"/>
  <c r="AH59" i="1"/>
  <c r="AH61" i="1"/>
  <c r="AD65" i="1"/>
  <c r="AC67" i="1"/>
  <c r="AH67" i="1"/>
  <c r="AH68" i="1"/>
  <c r="AG69" i="1"/>
  <c r="AE72" i="1"/>
  <c r="AD73" i="1"/>
  <c r="AC75" i="1"/>
  <c r="AH75" i="1"/>
  <c r="AH76" i="1"/>
  <c r="AG77" i="1"/>
  <c r="AF78" i="1"/>
  <c r="AE80" i="1"/>
  <c r="AD81" i="1"/>
  <c r="AC83" i="1"/>
  <c r="AH83" i="1"/>
  <c r="AH84" i="1"/>
  <c r="AG85" i="1"/>
  <c r="AF86" i="1"/>
  <c r="AF87" i="1"/>
  <c r="AE88" i="1"/>
  <c r="AD90" i="1"/>
  <c r="AC91" i="1"/>
  <c r="AH91" i="1"/>
  <c r="AH92" i="1"/>
  <c r="AF95" i="1"/>
  <c r="AD96" i="1"/>
  <c r="AH96" i="1"/>
  <c r="AF97" i="1"/>
  <c r="AD98" i="1"/>
  <c r="AH98" i="1"/>
  <c r="AF99" i="1"/>
  <c r="AD100" i="1"/>
  <c r="AH100" i="1"/>
  <c r="AF101" i="1"/>
  <c r="AD102" i="1"/>
  <c r="AH102" i="1"/>
  <c r="AF103" i="1"/>
  <c r="AD104" i="1"/>
  <c r="AH104" i="1"/>
  <c r="AF105" i="1"/>
  <c r="AD106" i="1"/>
  <c r="AH106" i="1"/>
  <c r="AF107" i="1"/>
  <c r="AD108" i="1"/>
  <c r="AH108" i="1"/>
  <c r="AF109" i="1"/>
  <c r="AD110" i="1"/>
  <c r="AH110" i="1"/>
  <c r="AF111" i="1"/>
  <c r="AD112" i="1"/>
  <c r="AH112" i="1"/>
  <c r="AF113" i="1"/>
  <c r="AF115" i="1"/>
  <c r="AD116" i="1"/>
  <c r="AH116" i="1"/>
  <c r="AF117" i="1"/>
  <c r="AD118" i="1"/>
  <c r="AH118" i="1"/>
  <c r="AF119" i="1"/>
  <c r="AD120" i="1"/>
  <c r="AH120" i="1"/>
  <c r="AF121" i="1"/>
  <c r="AD122" i="1"/>
  <c r="AH122" i="1"/>
  <c r="AF123" i="1"/>
  <c r="AD124" i="1"/>
  <c r="AH124" i="1"/>
  <c r="AF125" i="1"/>
  <c r="AD126" i="1"/>
  <c r="AH126" i="1"/>
  <c r="AF127" i="1"/>
  <c r="AD128" i="1"/>
  <c r="AH128" i="1"/>
  <c r="AF129" i="1"/>
  <c r="AD130" i="1"/>
  <c r="AH130" i="1"/>
  <c r="AF131" i="1"/>
  <c r="AD132" i="1"/>
  <c r="AH132" i="1"/>
  <c r="AF133" i="1"/>
  <c r="AD134" i="1"/>
  <c r="AH134" i="1"/>
  <c r="AF135" i="1"/>
  <c r="AD136" i="1"/>
  <c r="AH136" i="1"/>
  <c r="AF137" i="1"/>
  <c r="AC145" i="1"/>
  <c r="AD145" i="1"/>
  <c r="AE145" i="1"/>
  <c r="AF145" i="1"/>
  <c r="AG145" i="1"/>
  <c r="AH145" i="1"/>
  <c r="AH9" i="1"/>
  <c r="AD9" i="1"/>
  <c r="E14" i="4"/>
  <c r="E15" i="4"/>
  <c r="E18" i="4"/>
  <c r="E19" i="4"/>
  <c r="E22" i="4"/>
  <c r="E23" i="4"/>
  <c r="E26" i="4"/>
  <c r="E27" i="4"/>
  <c r="E30" i="4"/>
  <c r="E31" i="4"/>
  <c r="E34" i="4"/>
  <c r="E35" i="4"/>
  <c r="E38" i="4"/>
  <c r="AB139" i="1"/>
  <c r="AB140" i="1"/>
  <c r="AB141" i="1"/>
  <c r="AB142" i="1"/>
  <c r="AB143" i="1"/>
  <c r="AB144" i="1"/>
  <c r="AA86" i="1"/>
  <c r="AA87" i="1"/>
  <c r="AA85" i="1"/>
  <c r="AA48" i="1"/>
  <c r="AA49" i="1"/>
  <c r="AA50" i="1"/>
  <c r="AA47" i="1"/>
  <c r="AA10" i="1"/>
  <c r="AA11" i="1"/>
  <c r="AA12" i="1"/>
  <c r="AA9" i="1"/>
  <c r="AA115" i="1"/>
  <c r="AA116" i="1"/>
  <c r="V144" i="1"/>
  <c r="V143" i="1"/>
  <c r="V140" i="1"/>
  <c r="V139" i="1"/>
  <c r="AI8" i="1"/>
  <c r="AI7" i="1"/>
  <c r="AB145" i="1"/>
  <c r="K24" i="27"/>
  <c r="K25" i="27"/>
  <c r="K26" i="27"/>
  <c r="K27" i="27"/>
  <c r="K28" i="27"/>
  <c r="N19" i="27"/>
  <c r="N20" i="27"/>
  <c r="N21" i="27"/>
  <c r="N22" i="27"/>
  <c r="N18" i="27"/>
  <c r="H28" i="16"/>
  <c r="H25" i="16"/>
  <c r="I30" i="7"/>
  <c r="G30" i="7"/>
  <c r="F30" i="7"/>
  <c r="E30" i="7"/>
  <c r="H30" i="7"/>
  <c r="K30" i="7" s="1" a="1"/>
  <c r="K30" i="7" s="1"/>
  <c r="D30" i="7"/>
  <c r="H9" i="16"/>
  <c r="I29" i="7"/>
  <c r="H29" i="7"/>
  <c r="G29" i="7"/>
  <c r="F29" i="7"/>
  <c r="E29" i="7"/>
  <c r="D29" i="7"/>
  <c r="K28" i="7" a="1"/>
  <c r="K28" i="7" s="1"/>
  <c r="K27" i="7"/>
  <c r="H27" i="16"/>
  <c r="H26" i="16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E12" i="17"/>
  <c r="E18" i="17"/>
  <c r="E23" i="17"/>
  <c r="E24" i="17"/>
  <c r="E33" i="17"/>
  <c r="E34" i="17"/>
  <c r="E57" i="17"/>
  <c r="E58" i="17"/>
  <c r="E59" i="17"/>
  <c r="E62" i="17"/>
  <c r="E65" i="17"/>
  <c r="E73" i="17"/>
  <c r="E75" i="17"/>
  <c r="E76" i="17"/>
  <c r="E77" i="17"/>
  <c r="E84" i="17"/>
  <c r="E85" i="17"/>
  <c r="E93" i="17"/>
  <c r="E94" i="17"/>
  <c r="E98" i="17"/>
  <c r="E105" i="17"/>
  <c r="E106" i="17"/>
  <c r="E107" i="17"/>
  <c r="F28" i="27"/>
  <c r="F23" i="27"/>
  <c r="C23" i="27"/>
  <c r="C24" i="27"/>
  <c r="C25" i="27"/>
  <c r="C22" i="27"/>
  <c r="F18" i="27"/>
  <c r="F19" i="27"/>
  <c r="F20" i="27"/>
  <c r="F17" i="27"/>
  <c r="C8" i="11"/>
  <c r="D8" i="11"/>
  <c r="E8" i="11"/>
  <c r="F8" i="11"/>
  <c r="C9" i="11"/>
  <c r="D9" i="11"/>
  <c r="E9" i="11"/>
  <c r="F9" i="11"/>
  <c r="C10" i="11"/>
  <c r="D10" i="11"/>
  <c r="E10" i="11"/>
  <c r="F10" i="11"/>
  <c r="C11" i="11"/>
  <c r="D11" i="11"/>
  <c r="E11" i="11"/>
  <c r="F11" i="11"/>
  <c r="Y144" i="1"/>
  <c r="Z144" i="1"/>
  <c r="Y140" i="1"/>
  <c r="Z140" i="1"/>
  <c r="Y141" i="1"/>
  <c r="Z141" i="1"/>
  <c r="Y142" i="1"/>
  <c r="Z142" i="1"/>
  <c r="Y143" i="1"/>
  <c r="Z143" i="1"/>
  <c r="Z139" i="1"/>
  <c r="Y139" i="1"/>
  <c r="M140" i="1"/>
  <c r="M143" i="1"/>
  <c r="M144" i="1"/>
  <c r="M139" i="1"/>
  <c r="H12" i="16"/>
  <c r="G109" i="5"/>
  <c r="F109" i="5"/>
  <c r="E109" i="5"/>
  <c r="G108" i="5"/>
  <c r="F108" i="5"/>
  <c r="E108" i="5"/>
  <c r="G107" i="5"/>
  <c r="F107" i="5"/>
  <c r="E107" i="5"/>
  <c r="G106" i="5"/>
  <c r="F106" i="5"/>
  <c r="E106" i="5"/>
  <c r="G105" i="5"/>
  <c r="F105" i="5"/>
  <c r="E105" i="5"/>
  <c r="G104" i="5"/>
  <c r="F104" i="5"/>
  <c r="E104" i="5"/>
  <c r="G103" i="5"/>
  <c r="F103" i="5"/>
  <c r="E103" i="5"/>
  <c r="G102" i="5"/>
  <c r="F102" i="5"/>
  <c r="E102" i="5"/>
  <c r="G101" i="5"/>
  <c r="F101" i="5"/>
  <c r="E101" i="5"/>
  <c r="G100" i="5"/>
  <c r="F100" i="5"/>
  <c r="E100" i="5"/>
  <c r="G99" i="5"/>
  <c r="F99" i="5"/>
  <c r="E99" i="5"/>
  <c r="G98" i="5"/>
  <c r="F98" i="5"/>
  <c r="E98" i="5"/>
  <c r="G97" i="5"/>
  <c r="F97" i="5"/>
  <c r="E97" i="5"/>
  <c r="G96" i="5"/>
  <c r="F96" i="5"/>
  <c r="E96" i="5"/>
  <c r="G95" i="5"/>
  <c r="F95" i="5"/>
  <c r="E95" i="5"/>
  <c r="G94" i="5"/>
  <c r="F94" i="5"/>
  <c r="E94" i="5"/>
  <c r="G93" i="5"/>
  <c r="F93" i="5"/>
  <c r="E93" i="5"/>
  <c r="G92" i="5"/>
  <c r="F92" i="5"/>
  <c r="E92" i="5"/>
  <c r="G91" i="5"/>
  <c r="F91" i="5"/>
  <c r="E91" i="5"/>
  <c r="G90" i="5"/>
  <c r="F90" i="5"/>
  <c r="E90" i="5"/>
  <c r="G89" i="5"/>
  <c r="F89" i="5"/>
  <c r="E89" i="5"/>
  <c r="G88" i="5"/>
  <c r="F88" i="5"/>
  <c r="E88" i="5"/>
  <c r="G87" i="5"/>
  <c r="F87" i="5"/>
  <c r="E87" i="5"/>
  <c r="G86" i="5"/>
  <c r="F86" i="5"/>
  <c r="E86" i="5"/>
  <c r="G85" i="5"/>
  <c r="F85" i="5"/>
  <c r="E85" i="5"/>
  <c r="G84" i="5"/>
  <c r="F84" i="5"/>
  <c r="E84" i="5"/>
  <c r="G83" i="5"/>
  <c r="F83" i="5"/>
  <c r="E83" i="5"/>
  <c r="G82" i="5"/>
  <c r="F82" i="5"/>
  <c r="E82" i="5"/>
  <c r="G81" i="5"/>
  <c r="F81" i="5"/>
  <c r="E81" i="5"/>
  <c r="G80" i="5"/>
  <c r="F80" i="5"/>
  <c r="E80" i="5"/>
  <c r="G79" i="5"/>
  <c r="F79" i="5"/>
  <c r="E79" i="5"/>
  <c r="G78" i="5"/>
  <c r="F78" i="5"/>
  <c r="E78" i="5"/>
  <c r="G77" i="5"/>
  <c r="F77" i="5"/>
  <c r="E77" i="5"/>
  <c r="G76" i="5"/>
  <c r="F76" i="5"/>
  <c r="E76" i="5"/>
  <c r="G75" i="5"/>
  <c r="F75" i="5"/>
  <c r="E75" i="5"/>
  <c r="G74" i="5"/>
  <c r="F74" i="5"/>
  <c r="E74" i="5"/>
  <c r="G73" i="5"/>
  <c r="F73" i="5"/>
  <c r="E73" i="5"/>
  <c r="G72" i="5"/>
  <c r="F72" i="5"/>
  <c r="E72" i="5"/>
  <c r="G71" i="5"/>
  <c r="F71" i="5"/>
  <c r="E71" i="5"/>
  <c r="G70" i="5"/>
  <c r="F70" i="5"/>
  <c r="E70" i="5"/>
  <c r="G69" i="5"/>
  <c r="F69" i="5"/>
  <c r="E69" i="5"/>
  <c r="G68" i="5"/>
  <c r="F68" i="5"/>
  <c r="E68" i="5"/>
  <c r="G67" i="5"/>
  <c r="F67" i="5"/>
  <c r="E67" i="5"/>
  <c r="G66" i="5"/>
  <c r="F66" i="5"/>
  <c r="E66" i="5"/>
  <c r="G65" i="5"/>
  <c r="F65" i="5"/>
  <c r="E65" i="5"/>
  <c r="G64" i="5"/>
  <c r="F64" i="5"/>
  <c r="E64" i="5"/>
  <c r="G63" i="5"/>
  <c r="F63" i="5"/>
  <c r="E63" i="5"/>
  <c r="G62" i="5"/>
  <c r="F62" i="5"/>
  <c r="E62" i="5"/>
  <c r="G61" i="5"/>
  <c r="F61" i="5"/>
  <c r="E61" i="5"/>
  <c r="G60" i="5"/>
  <c r="F60" i="5"/>
  <c r="E60" i="5"/>
  <c r="G59" i="5"/>
  <c r="F59" i="5"/>
  <c r="E59" i="5"/>
  <c r="G58" i="5"/>
  <c r="F58" i="5"/>
  <c r="E58" i="5"/>
  <c r="G57" i="5"/>
  <c r="F57" i="5"/>
  <c r="E57" i="5"/>
  <c r="G56" i="5"/>
  <c r="F56" i="5"/>
  <c r="E56" i="5"/>
  <c r="G55" i="5"/>
  <c r="F55" i="5"/>
  <c r="E55" i="5"/>
  <c r="G54" i="5"/>
  <c r="F54" i="5"/>
  <c r="E54" i="5"/>
  <c r="G53" i="5"/>
  <c r="F53" i="5"/>
  <c r="E53" i="5"/>
  <c r="G52" i="5"/>
  <c r="F52" i="5"/>
  <c r="E52" i="5"/>
  <c r="G51" i="5"/>
  <c r="F51" i="5"/>
  <c r="E51" i="5"/>
  <c r="G50" i="5"/>
  <c r="F50" i="5"/>
  <c r="E50" i="5"/>
  <c r="G49" i="5"/>
  <c r="F49" i="5"/>
  <c r="E49" i="5"/>
  <c r="G48" i="5"/>
  <c r="F48" i="5"/>
  <c r="E48" i="5"/>
  <c r="G47" i="5"/>
  <c r="F47" i="5"/>
  <c r="E47" i="5"/>
  <c r="G46" i="5"/>
  <c r="F46" i="5"/>
  <c r="E46" i="5"/>
  <c r="G45" i="5"/>
  <c r="F45" i="5"/>
  <c r="E45" i="5"/>
  <c r="G44" i="5"/>
  <c r="F44" i="5"/>
  <c r="E44" i="5"/>
  <c r="G43" i="5"/>
  <c r="F43" i="5"/>
  <c r="E43" i="5"/>
  <c r="G42" i="5"/>
  <c r="F42" i="5"/>
  <c r="E42" i="5"/>
  <c r="G41" i="5"/>
  <c r="F41" i="5"/>
  <c r="E41" i="5"/>
  <c r="G40" i="5"/>
  <c r="F40" i="5"/>
  <c r="E40" i="5"/>
  <c r="G39" i="5"/>
  <c r="F39" i="5"/>
  <c r="E39" i="5"/>
  <c r="G38" i="5"/>
  <c r="F38" i="5"/>
  <c r="E38" i="5"/>
  <c r="G37" i="5"/>
  <c r="F37" i="5"/>
  <c r="E37" i="5"/>
  <c r="G36" i="5"/>
  <c r="F36" i="5"/>
  <c r="E36" i="5"/>
  <c r="G35" i="5"/>
  <c r="F35" i="5"/>
  <c r="E35" i="5"/>
  <c r="G34" i="5"/>
  <c r="F34" i="5"/>
  <c r="E34" i="5"/>
  <c r="G33" i="5"/>
  <c r="F33" i="5"/>
  <c r="E33" i="5"/>
  <c r="G32" i="5"/>
  <c r="F32" i="5"/>
  <c r="E32" i="5"/>
  <c r="G31" i="5"/>
  <c r="F31" i="5"/>
  <c r="E31" i="5"/>
  <c r="G30" i="5"/>
  <c r="F30" i="5"/>
  <c r="E30" i="5"/>
  <c r="G29" i="5"/>
  <c r="F29" i="5"/>
  <c r="E29" i="5"/>
  <c r="G28" i="5"/>
  <c r="F28" i="5"/>
  <c r="E28" i="5"/>
  <c r="G27" i="5"/>
  <c r="F27" i="5"/>
  <c r="E27" i="5"/>
  <c r="G26" i="5"/>
  <c r="F26" i="5"/>
  <c r="E26" i="5"/>
  <c r="G25" i="5"/>
  <c r="F25" i="5"/>
  <c r="E25" i="5"/>
  <c r="G24" i="5"/>
  <c r="F24" i="5"/>
  <c r="E24" i="5"/>
  <c r="G23" i="5"/>
  <c r="F23" i="5"/>
  <c r="E23" i="5"/>
  <c r="G22" i="5"/>
  <c r="F22" i="5"/>
  <c r="E22" i="5"/>
  <c r="G21" i="5"/>
  <c r="F21" i="5"/>
  <c r="E21" i="5"/>
  <c r="G20" i="5"/>
  <c r="F20" i="5"/>
  <c r="E20" i="5"/>
  <c r="G19" i="5"/>
  <c r="F19" i="5"/>
  <c r="E19" i="5"/>
  <c r="G18" i="5"/>
  <c r="F18" i="5"/>
  <c r="E18" i="5"/>
  <c r="G17" i="5"/>
  <c r="F17" i="5"/>
  <c r="E17" i="5"/>
  <c r="G16" i="5"/>
  <c r="F16" i="5"/>
  <c r="E16" i="5"/>
  <c r="G15" i="5"/>
  <c r="F15" i="5"/>
  <c r="E15" i="5"/>
  <c r="G14" i="5"/>
  <c r="F14" i="5"/>
  <c r="E14" i="5"/>
  <c r="G13" i="5"/>
  <c r="F13" i="5"/>
  <c r="E13" i="5"/>
  <c r="G12" i="5"/>
  <c r="F12" i="5"/>
  <c r="E12" i="5"/>
  <c r="G11" i="5"/>
  <c r="F11" i="5"/>
  <c r="E11" i="5"/>
  <c r="G10" i="5"/>
  <c r="F10" i="5"/>
  <c r="E10" i="5"/>
  <c r="V141" i="1"/>
  <c r="I8" i="17"/>
  <c r="D9" i="17"/>
  <c r="C9" i="17"/>
  <c r="C12" i="17"/>
  <c r="F12" i="17"/>
  <c r="G12" i="17"/>
  <c r="H12" i="17"/>
  <c r="C18" i="17"/>
  <c r="F18" i="17"/>
  <c r="G18" i="17"/>
  <c r="H18" i="17"/>
  <c r="C19" i="17"/>
  <c r="F19" i="17"/>
  <c r="G19" i="17"/>
  <c r="H19" i="17"/>
  <c r="C20" i="17"/>
  <c r="F20" i="17"/>
  <c r="G20" i="17"/>
  <c r="H20" i="17"/>
  <c r="C21" i="17"/>
  <c r="F21" i="17"/>
  <c r="G21" i="17"/>
  <c r="H21" i="17"/>
  <c r="C22" i="17"/>
  <c r="F22" i="17"/>
  <c r="G22" i="17"/>
  <c r="H22" i="17"/>
  <c r="C23" i="17"/>
  <c r="F23" i="17"/>
  <c r="G23" i="17"/>
  <c r="H23" i="17"/>
  <c r="C24" i="17"/>
  <c r="F24" i="17"/>
  <c r="G24" i="17"/>
  <c r="H24" i="17"/>
  <c r="C25" i="17"/>
  <c r="F25" i="17"/>
  <c r="G25" i="17"/>
  <c r="H25" i="17"/>
  <c r="C26" i="17"/>
  <c r="F26" i="17"/>
  <c r="G26" i="17"/>
  <c r="H26" i="17"/>
  <c r="C27" i="17"/>
  <c r="F27" i="17"/>
  <c r="G27" i="17"/>
  <c r="H27" i="17"/>
  <c r="C28" i="17"/>
  <c r="F28" i="17"/>
  <c r="G28" i="17"/>
  <c r="H28" i="17"/>
  <c r="C29" i="17"/>
  <c r="F29" i="17"/>
  <c r="G29" i="17"/>
  <c r="H29" i="17"/>
  <c r="C30" i="17"/>
  <c r="F30" i="17"/>
  <c r="G30" i="17"/>
  <c r="H30" i="17"/>
  <c r="C31" i="17"/>
  <c r="F31" i="17"/>
  <c r="G31" i="17"/>
  <c r="H31" i="17"/>
  <c r="C32" i="17"/>
  <c r="F32" i="17"/>
  <c r="G32" i="17"/>
  <c r="H32" i="17"/>
  <c r="C33" i="17"/>
  <c r="F33" i="17"/>
  <c r="G33" i="17"/>
  <c r="H33" i="17"/>
  <c r="C34" i="17"/>
  <c r="F34" i="17"/>
  <c r="G34" i="17"/>
  <c r="H34" i="17"/>
  <c r="C35" i="17"/>
  <c r="F35" i="17"/>
  <c r="G35" i="17"/>
  <c r="H35" i="17"/>
  <c r="C36" i="17"/>
  <c r="F36" i="17"/>
  <c r="G36" i="17"/>
  <c r="H36" i="17"/>
  <c r="C37" i="17"/>
  <c r="F37" i="17"/>
  <c r="G37" i="17"/>
  <c r="H37" i="17"/>
  <c r="C38" i="17"/>
  <c r="F38" i="17"/>
  <c r="G38" i="17"/>
  <c r="H38" i="17"/>
  <c r="C39" i="17"/>
  <c r="F39" i="17"/>
  <c r="G39" i="17"/>
  <c r="H39" i="17"/>
  <c r="C40" i="17"/>
  <c r="F40" i="17"/>
  <c r="G40" i="17"/>
  <c r="H40" i="17"/>
  <c r="C41" i="17"/>
  <c r="F41" i="17"/>
  <c r="G41" i="17"/>
  <c r="H41" i="17"/>
  <c r="C42" i="17"/>
  <c r="F42" i="17"/>
  <c r="G42" i="17"/>
  <c r="H42" i="17"/>
  <c r="C43" i="17"/>
  <c r="F43" i="17"/>
  <c r="G43" i="17"/>
  <c r="H43" i="17"/>
  <c r="C44" i="17"/>
  <c r="F44" i="17"/>
  <c r="G44" i="17"/>
  <c r="H44" i="17"/>
  <c r="C45" i="17"/>
  <c r="F45" i="17"/>
  <c r="G45" i="17"/>
  <c r="H45" i="17"/>
  <c r="C46" i="17"/>
  <c r="F46" i="17"/>
  <c r="G46" i="17"/>
  <c r="H46" i="17"/>
  <c r="C47" i="17"/>
  <c r="F47" i="17"/>
  <c r="G47" i="17"/>
  <c r="H47" i="17"/>
  <c r="C48" i="17"/>
  <c r="F48" i="17"/>
  <c r="G48" i="17"/>
  <c r="H48" i="17"/>
  <c r="C49" i="17"/>
  <c r="F49" i="17"/>
  <c r="G49" i="17"/>
  <c r="H49" i="17"/>
  <c r="C50" i="17"/>
  <c r="F50" i="17"/>
  <c r="G50" i="17"/>
  <c r="H50" i="17"/>
  <c r="C51" i="17"/>
  <c r="F51" i="17"/>
  <c r="G51" i="17"/>
  <c r="H51" i="17"/>
  <c r="C52" i="17"/>
  <c r="F52" i="17"/>
  <c r="G52" i="17"/>
  <c r="H52" i="17"/>
  <c r="C53" i="17"/>
  <c r="F53" i="17"/>
  <c r="G53" i="17"/>
  <c r="H53" i="17"/>
  <c r="C54" i="17"/>
  <c r="F54" i="17"/>
  <c r="G54" i="17"/>
  <c r="H54" i="17"/>
  <c r="C55" i="17"/>
  <c r="F55" i="17"/>
  <c r="G55" i="17"/>
  <c r="H55" i="17"/>
  <c r="C56" i="17"/>
  <c r="F56" i="17"/>
  <c r="G56" i="17"/>
  <c r="H56" i="17"/>
  <c r="C57" i="17"/>
  <c r="F57" i="17"/>
  <c r="G57" i="17"/>
  <c r="H57" i="17"/>
  <c r="C58" i="17"/>
  <c r="F58" i="17"/>
  <c r="G58" i="17"/>
  <c r="H58" i="17"/>
  <c r="C59" i="17"/>
  <c r="F59" i="17"/>
  <c r="G59" i="17"/>
  <c r="H59" i="17"/>
  <c r="C60" i="17"/>
  <c r="F60" i="17"/>
  <c r="G60" i="17"/>
  <c r="H60" i="17"/>
  <c r="C61" i="17"/>
  <c r="F61" i="17"/>
  <c r="G61" i="17"/>
  <c r="H61" i="17"/>
  <c r="C62" i="17"/>
  <c r="F62" i="17"/>
  <c r="G62" i="17"/>
  <c r="H62" i="17"/>
  <c r="C63" i="17"/>
  <c r="F63" i="17"/>
  <c r="G63" i="17"/>
  <c r="H63" i="17"/>
  <c r="C64" i="17"/>
  <c r="F64" i="17"/>
  <c r="G64" i="17"/>
  <c r="H64" i="17"/>
  <c r="C65" i="17"/>
  <c r="F65" i="17"/>
  <c r="G65" i="17"/>
  <c r="H65" i="17"/>
  <c r="C66" i="17"/>
  <c r="F66" i="17"/>
  <c r="G66" i="17"/>
  <c r="H66" i="17"/>
  <c r="C67" i="17"/>
  <c r="F67" i="17"/>
  <c r="G67" i="17"/>
  <c r="H67" i="17"/>
  <c r="C68" i="17"/>
  <c r="F68" i="17"/>
  <c r="G68" i="17"/>
  <c r="H68" i="17"/>
  <c r="C69" i="17"/>
  <c r="F69" i="17"/>
  <c r="G69" i="17"/>
  <c r="H69" i="17"/>
  <c r="C70" i="17"/>
  <c r="F70" i="17"/>
  <c r="G70" i="17"/>
  <c r="H70" i="17"/>
  <c r="C71" i="17"/>
  <c r="F71" i="17"/>
  <c r="G71" i="17"/>
  <c r="H71" i="17"/>
  <c r="C72" i="17"/>
  <c r="F72" i="17"/>
  <c r="G72" i="17"/>
  <c r="H72" i="17"/>
  <c r="C73" i="17"/>
  <c r="F73" i="17"/>
  <c r="G73" i="17"/>
  <c r="H73" i="17"/>
  <c r="C74" i="17"/>
  <c r="F74" i="17"/>
  <c r="G74" i="17"/>
  <c r="H74" i="17"/>
  <c r="C75" i="17"/>
  <c r="F75" i="17"/>
  <c r="G75" i="17"/>
  <c r="H75" i="17"/>
  <c r="C76" i="17"/>
  <c r="F76" i="17"/>
  <c r="G76" i="17"/>
  <c r="H76" i="17"/>
  <c r="C77" i="17"/>
  <c r="F77" i="17"/>
  <c r="G77" i="17"/>
  <c r="H77" i="17"/>
  <c r="C78" i="17"/>
  <c r="F78" i="17"/>
  <c r="G78" i="17"/>
  <c r="H78" i="17"/>
  <c r="C79" i="17"/>
  <c r="F79" i="17"/>
  <c r="G79" i="17"/>
  <c r="H79" i="17"/>
  <c r="C80" i="17"/>
  <c r="F80" i="17"/>
  <c r="G80" i="17"/>
  <c r="H80" i="17"/>
  <c r="C81" i="17"/>
  <c r="F81" i="17"/>
  <c r="G81" i="17"/>
  <c r="H81" i="17"/>
  <c r="C82" i="17"/>
  <c r="F82" i="17"/>
  <c r="G82" i="17"/>
  <c r="H82" i="17"/>
  <c r="C83" i="17"/>
  <c r="F83" i="17"/>
  <c r="G83" i="17"/>
  <c r="H83" i="17"/>
  <c r="C84" i="17"/>
  <c r="F84" i="17"/>
  <c r="G84" i="17"/>
  <c r="H84" i="17"/>
  <c r="C85" i="17"/>
  <c r="F85" i="17"/>
  <c r="G85" i="17"/>
  <c r="H85" i="17"/>
  <c r="C86" i="17"/>
  <c r="F86" i="17"/>
  <c r="G86" i="17"/>
  <c r="H86" i="17"/>
  <c r="C87" i="17"/>
  <c r="F87" i="17"/>
  <c r="G87" i="17"/>
  <c r="H87" i="17"/>
  <c r="C88" i="17"/>
  <c r="F88" i="17"/>
  <c r="G88" i="17"/>
  <c r="H88" i="17"/>
  <c r="C89" i="17"/>
  <c r="F89" i="17"/>
  <c r="G89" i="17"/>
  <c r="H89" i="17"/>
  <c r="C90" i="17"/>
  <c r="F90" i="17"/>
  <c r="G90" i="17"/>
  <c r="H90" i="17"/>
  <c r="C91" i="17"/>
  <c r="F91" i="17"/>
  <c r="G91" i="17"/>
  <c r="H91" i="17"/>
  <c r="C92" i="17"/>
  <c r="F92" i="17"/>
  <c r="G92" i="17"/>
  <c r="H92" i="17"/>
  <c r="C93" i="17"/>
  <c r="F93" i="17"/>
  <c r="G93" i="17"/>
  <c r="H93" i="17"/>
  <c r="C94" i="17"/>
  <c r="F94" i="17"/>
  <c r="G94" i="17"/>
  <c r="H94" i="17"/>
  <c r="C95" i="17"/>
  <c r="F95" i="17"/>
  <c r="G95" i="17"/>
  <c r="H95" i="17"/>
  <c r="C96" i="17"/>
  <c r="F96" i="17"/>
  <c r="G96" i="17"/>
  <c r="H96" i="17"/>
  <c r="C97" i="17"/>
  <c r="F97" i="17"/>
  <c r="G97" i="17"/>
  <c r="H97" i="17"/>
  <c r="C98" i="17"/>
  <c r="F98" i="17"/>
  <c r="G98" i="17"/>
  <c r="H98" i="17"/>
  <c r="C99" i="17"/>
  <c r="F99" i="17"/>
  <c r="G99" i="17"/>
  <c r="H99" i="17"/>
  <c r="C100" i="17"/>
  <c r="F100" i="17"/>
  <c r="G100" i="17"/>
  <c r="H100" i="17"/>
  <c r="C101" i="17"/>
  <c r="F101" i="17"/>
  <c r="G101" i="17"/>
  <c r="H101" i="17"/>
  <c r="C102" i="17"/>
  <c r="F102" i="17"/>
  <c r="G102" i="17"/>
  <c r="H102" i="17"/>
  <c r="C103" i="17"/>
  <c r="F103" i="17"/>
  <c r="G103" i="17"/>
  <c r="H103" i="17"/>
  <c r="C104" i="17"/>
  <c r="F104" i="17"/>
  <c r="G104" i="17"/>
  <c r="H104" i="17"/>
  <c r="C105" i="17"/>
  <c r="F105" i="17"/>
  <c r="G105" i="17"/>
  <c r="H105" i="17"/>
  <c r="C106" i="17"/>
  <c r="F106" i="17"/>
  <c r="G106" i="17"/>
  <c r="H106" i="17"/>
  <c r="C107" i="17"/>
  <c r="F107" i="17"/>
  <c r="G107" i="17"/>
  <c r="H107" i="17"/>
  <c r="C108" i="17"/>
  <c r="F108" i="17"/>
  <c r="G108" i="17"/>
  <c r="H108" i="17"/>
  <c r="C109" i="17"/>
  <c r="F109" i="17"/>
  <c r="G109" i="17"/>
  <c r="H109" i="17"/>
  <c r="C10" i="17"/>
  <c r="F10" i="17"/>
  <c r="G10" i="17"/>
  <c r="H10" i="17"/>
  <c r="C11" i="17"/>
  <c r="F11" i="17"/>
  <c r="G11" i="17"/>
  <c r="H11" i="17"/>
  <c r="C13" i="17"/>
  <c r="F13" i="17"/>
  <c r="G13" i="17"/>
  <c r="H13" i="17"/>
  <c r="C14" i="17"/>
  <c r="F14" i="17"/>
  <c r="G14" i="17"/>
  <c r="H14" i="17"/>
  <c r="C15" i="17"/>
  <c r="F15" i="17"/>
  <c r="G15" i="17"/>
  <c r="H15" i="17"/>
  <c r="C16" i="17"/>
  <c r="F16" i="17"/>
  <c r="G16" i="17"/>
  <c r="H16" i="17"/>
  <c r="C17" i="17"/>
  <c r="F17" i="17"/>
  <c r="G17" i="17"/>
  <c r="H17" i="17"/>
  <c r="H9" i="17"/>
  <c r="G9" i="17"/>
  <c r="F9" i="17"/>
  <c r="D9" i="26"/>
  <c r="D10" i="26"/>
  <c r="D11" i="26"/>
  <c r="D12" i="26"/>
  <c r="D13" i="26"/>
  <c r="E15" i="17" s="1"/>
  <c r="D14" i="26"/>
  <c r="D15" i="26"/>
  <c r="D16" i="26"/>
  <c r="D17" i="26"/>
  <c r="D18" i="26"/>
  <c r="E21" i="17" s="1"/>
  <c r="D19" i="26"/>
  <c r="E22" i="17" s="1"/>
  <c r="D20" i="26"/>
  <c r="E25" i="17" s="1"/>
  <c r="D21" i="26"/>
  <c r="E26" i="17" s="1"/>
  <c r="D22" i="26"/>
  <c r="D23" i="26"/>
  <c r="D24" i="26"/>
  <c r="D25" i="26"/>
  <c r="D26" i="26"/>
  <c r="D27" i="26"/>
  <c r="E32" i="17" s="1"/>
  <c r="D28" i="26"/>
  <c r="E35" i="17" s="1"/>
  <c r="D29" i="26"/>
  <c r="D30" i="26"/>
  <c r="D31" i="26"/>
  <c r="D32" i="26"/>
  <c r="D33" i="26"/>
  <c r="D34" i="26"/>
  <c r="D35" i="26"/>
  <c r="D36" i="26"/>
  <c r="D37" i="26"/>
  <c r="E44" i="17" s="1"/>
  <c r="D38" i="26"/>
  <c r="E45" i="17" s="1"/>
  <c r="D39" i="26"/>
  <c r="E46" i="17" s="1"/>
  <c r="D40" i="26"/>
  <c r="E47" i="17" s="1"/>
  <c r="D41" i="26"/>
  <c r="D42" i="26"/>
  <c r="D43" i="26"/>
  <c r="E50" i="17" s="1"/>
  <c r="D44" i="26"/>
  <c r="D45" i="26"/>
  <c r="D46" i="26"/>
  <c r="D47" i="26"/>
  <c r="D48" i="26"/>
  <c r="D49" i="26"/>
  <c r="D50" i="26"/>
  <c r="E60" i="17" s="1"/>
  <c r="D51" i="26"/>
  <c r="D52" i="26"/>
  <c r="D53" i="26"/>
  <c r="D54" i="26"/>
  <c r="E68" i="17" s="1"/>
  <c r="D55" i="26"/>
  <c r="D56" i="26"/>
  <c r="D57" i="26"/>
  <c r="D58" i="26"/>
  <c r="E74" i="17" s="1"/>
  <c r="D59" i="26"/>
  <c r="D60" i="26"/>
  <c r="D61" i="26"/>
  <c r="D62" i="26"/>
  <c r="D63" i="26"/>
  <c r="D64" i="26"/>
  <c r="D65" i="26"/>
  <c r="E86" i="17" s="1"/>
  <c r="D66" i="26"/>
  <c r="E87" i="17" s="1"/>
  <c r="D67" i="26"/>
  <c r="E88" i="17" s="1"/>
  <c r="D68" i="26"/>
  <c r="D69" i="26"/>
  <c r="E90" i="17" s="1"/>
  <c r="D70" i="26"/>
  <c r="E91" i="17" s="1"/>
  <c r="D71" i="26"/>
  <c r="E92" i="17" s="1"/>
  <c r="D72" i="26"/>
  <c r="E95" i="17" s="1"/>
  <c r="D73" i="26"/>
  <c r="D74" i="26"/>
  <c r="D75" i="26"/>
  <c r="D76" i="26"/>
  <c r="D77" i="26"/>
  <c r="D78" i="26"/>
  <c r="D79" i="26"/>
  <c r="D80" i="26"/>
  <c r="D8" i="26"/>
  <c r="G9" i="5"/>
  <c r="F9" i="5"/>
  <c r="E9" i="5"/>
  <c r="E39" i="22"/>
  <c r="E40" i="22"/>
  <c r="D48" i="22" s="1"/>
  <c r="E48" i="22" s="1"/>
  <c r="E42" i="22"/>
  <c r="D41" i="22" s="1"/>
  <c r="E41" i="22" s="1"/>
  <c r="E43" i="22"/>
  <c r="E44" i="22"/>
  <c r="E45" i="22"/>
  <c r="E46" i="22"/>
  <c r="E47" i="22"/>
  <c r="E51" i="22"/>
  <c r="E52" i="22"/>
  <c r="E53" i="22"/>
  <c r="E54" i="22"/>
  <c r="E55" i="22"/>
  <c r="E56" i="22"/>
  <c r="E57" i="22"/>
  <c r="E38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9" i="22"/>
  <c r="D50" i="22"/>
  <c r="E50" i="22" s="1"/>
  <c r="D165" i="18"/>
  <c r="E79" i="4"/>
  <c r="E80" i="4"/>
  <c r="E81" i="4"/>
  <c r="E82" i="4"/>
  <c r="E83" i="4"/>
  <c r="B202" i="18"/>
  <c r="B201" i="18"/>
  <c r="B200" i="18"/>
  <c r="B191" i="18"/>
  <c r="B190" i="18"/>
  <c r="B189" i="18"/>
  <c r="B180" i="18"/>
  <c r="B179" i="18"/>
  <c r="B178" i="18"/>
  <c r="B177" i="18"/>
  <c r="B176" i="18"/>
  <c r="B175" i="18"/>
  <c r="B166" i="18"/>
  <c r="B165" i="18"/>
  <c r="B164" i="18"/>
  <c r="B163" i="18"/>
  <c r="B162" i="18"/>
  <c r="B161" i="18"/>
  <c r="B160" i="18"/>
  <c r="B159" i="18"/>
  <c r="B158" i="18"/>
  <c r="B157" i="18"/>
  <c r="B156" i="18"/>
  <c r="B155" i="18"/>
  <c r="B154" i="18"/>
  <c r="B153" i="18"/>
  <c r="B144" i="18"/>
  <c r="B143" i="18"/>
  <c r="B142" i="18"/>
  <c r="B141" i="18"/>
  <c r="B140" i="18"/>
  <c r="B139" i="18"/>
  <c r="B138" i="18"/>
  <c r="B137" i="18"/>
  <c r="B136" i="18"/>
  <c r="B135" i="18"/>
  <c r="B125" i="18"/>
  <c r="B124" i="18"/>
  <c r="B123" i="18"/>
  <c r="B122" i="18"/>
  <c r="B121" i="18"/>
  <c r="B120" i="18"/>
  <c r="B119" i="18"/>
  <c r="B118" i="18"/>
  <c r="B117" i="18"/>
  <c r="B116" i="18"/>
  <c r="B115" i="18"/>
  <c r="B114" i="18"/>
  <c r="B113" i="18"/>
  <c r="B112" i="18"/>
  <c r="B111" i="18"/>
  <c r="B99" i="18"/>
  <c r="B98" i="18"/>
  <c r="B97" i="18"/>
  <c r="B96" i="18"/>
  <c r="B95" i="18"/>
  <c r="B94" i="18"/>
  <c r="B93" i="18"/>
  <c r="B92" i="18"/>
  <c r="B91" i="18"/>
  <c r="B75" i="18"/>
  <c r="B74" i="18"/>
  <c r="B73" i="18"/>
  <c r="B72" i="18"/>
  <c r="B71" i="18"/>
  <c r="B70" i="18"/>
  <c r="B69" i="18"/>
  <c r="B68" i="18"/>
  <c r="B67" i="18"/>
  <c r="B66" i="18"/>
  <c r="B65" i="18"/>
  <c r="B64" i="18"/>
  <c r="B63" i="18"/>
  <c r="B62" i="18"/>
  <c r="B61" i="18"/>
  <c r="B52" i="18"/>
  <c r="B51" i="18"/>
  <c r="B50" i="18"/>
  <c r="B49" i="18"/>
  <c r="B48" i="18"/>
  <c r="B47" i="18"/>
  <c r="B46" i="18"/>
  <c r="B45" i="18"/>
  <c r="B44" i="18"/>
  <c r="B43" i="18"/>
  <c r="B42" i="18"/>
  <c r="B41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10" i="18"/>
  <c r="AT10" i="1"/>
  <c r="F11" i="18" s="1"/>
  <c r="AT11" i="1"/>
  <c r="F12" i="18" s="1"/>
  <c r="AT12" i="1"/>
  <c r="F13" i="18" s="1"/>
  <c r="AT13" i="1"/>
  <c r="F14" i="18" s="1"/>
  <c r="AT14" i="1"/>
  <c r="F15" i="18" s="1"/>
  <c r="AT15" i="1"/>
  <c r="F16" i="18" s="1"/>
  <c r="AT16" i="1"/>
  <c r="F17" i="18" s="1"/>
  <c r="AT17" i="1"/>
  <c r="F18" i="18" s="1"/>
  <c r="AT18" i="1"/>
  <c r="F19" i="18" s="1"/>
  <c r="AT19" i="1"/>
  <c r="F20" i="18" s="1"/>
  <c r="AT20" i="1"/>
  <c r="F21" i="18" s="1"/>
  <c r="AT21" i="1"/>
  <c r="F22" i="18" s="1"/>
  <c r="AT22" i="1"/>
  <c r="F23" i="18" s="1"/>
  <c r="AT23" i="1"/>
  <c r="F24" i="18" s="1"/>
  <c r="AT24" i="1"/>
  <c r="F25" i="18" s="1"/>
  <c r="AT25" i="1"/>
  <c r="F26" i="18" s="1"/>
  <c r="AT26" i="1"/>
  <c r="F27" i="18" s="1"/>
  <c r="AT27" i="1"/>
  <c r="F28" i="18" s="1"/>
  <c r="AT28" i="1"/>
  <c r="F29" i="18" s="1"/>
  <c r="AT29" i="1"/>
  <c r="F30" i="18" s="1"/>
  <c r="AT30" i="1"/>
  <c r="F31" i="18" s="1"/>
  <c r="AT31" i="1"/>
  <c r="F32" i="18" s="1"/>
  <c r="AT32" i="1"/>
  <c r="AT33" i="1"/>
  <c r="AT34" i="1"/>
  <c r="F41" i="18" s="1"/>
  <c r="AT35" i="1"/>
  <c r="F42" i="18" s="1"/>
  <c r="AT36" i="1"/>
  <c r="F43" i="18" s="1"/>
  <c r="AT37" i="1"/>
  <c r="F44" i="18" s="1"/>
  <c r="AT38" i="1"/>
  <c r="F45" i="18" s="1"/>
  <c r="AT39" i="1"/>
  <c r="F46" i="18" s="1"/>
  <c r="AT40" i="1"/>
  <c r="F47" i="18" s="1"/>
  <c r="AT41" i="1"/>
  <c r="F48" i="18" s="1"/>
  <c r="AT42" i="1"/>
  <c r="F49" i="18" s="1"/>
  <c r="AT43" i="1"/>
  <c r="F50" i="18" s="1"/>
  <c r="AT44" i="1"/>
  <c r="F51" i="18" s="1"/>
  <c r="AT45" i="1"/>
  <c r="AT46" i="1"/>
  <c r="AT47" i="1"/>
  <c r="F61" i="18" s="1"/>
  <c r="AT48" i="1"/>
  <c r="F62" i="18" s="1"/>
  <c r="AT49" i="1"/>
  <c r="F63" i="18" s="1"/>
  <c r="AT50" i="1"/>
  <c r="F64" i="18" s="1"/>
  <c r="AT51" i="1"/>
  <c r="F65" i="18" s="1"/>
  <c r="AT52" i="1"/>
  <c r="F66" i="18" s="1"/>
  <c r="AT53" i="1"/>
  <c r="F67" i="18" s="1"/>
  <c r="AT54" i="1"/>
  <c r="F68" i="18" s="1"/>
  <c r="AT55" i="1"/>
  <c r="F69" i="18" s="1"/>
  <c r="AT56" i="1"/>
  <c r="F70" i="18" s="1"/>
  <c r="AT57" i="1"/>
  <c r="F71" i="18" s="1"/>
  <c r="AT58" i="1"/>
  <c r="F72" i="18" s="1"/>
  <c r="AT59" i="1"/>
  <c r="F73" i="18" s="1"/>
  <c r="AT60" i="1"/>
  <c r="F74" i="18" s="1"/>
  <c r="AT61" i="1"/>
  <c r="F75" i="18" s="1"/>
  <c r="AT62" i="1"/>
  <c r="F76" i="18" s="1"/>
  <c r="AT63" i="1"/>
  <c r="F77" i="18" s="1"/>
  <c r="AT64" i="1"/>
  <c r="F78" i="18" s="1"/>
  <c r="AT65" i="1"/>
  <c r="F79" i="18" s="1"/>
  <c r="AT66" i="1"/>
  <c r="F80" i="18" s="1"/>
  <c r="AT67" i="1"/>
  <c r="F81" i="18" s="1"/>
  <c r="AT68" i="1"/>
  <c r="F82" i="18" s="1"/>
  <c r="AT69" i="1"/>
  <c r="AT70" i="1"/>
  <c r="AT71" i="1"/>
  <c r="F91" i="18" s="1"/>
  <c r="AT72" i="1"/>
  <c r="F92" i="18" s="1"/>
  <c r="AT73" i="1"/>
  <c r="F93" i="18" s="1"/>
  <c r="AT74" i="1"/>
  <c r="F94" i="18" s="1"/>
  <c r="AT75" i="1"/>
  <c r="F95" i="18" s="1"/>
  <c r="AT76" i="1"/>
  <c r="F96" i="18" s="1"/>
  <c r="AT77" i="1"/>
  <c r="F97" i="18" s="1"/>
  <c r="AT78" i="1"/>
  <c r="F98" i="18" s="1"/>
  <c r="AT79" i="1"/>
  <c r="F99" i="18" s="1"/>
  <c r="AT80" i="1"/>
  <c r="F100" i="18" s="1"/>
  <c r="AT81" i="1"/>
  <c r="F101" i="18" s="1"/>
  <c r="AT82" i="1"/>
  <c r="F102" i="18" s="1"/>
  <c r="AT83" i="1"/>
  <c r="AT84" i="1"/>
  <c r="AT85" i="1"/>
  <c r="F111" i="18" s="1"/>
  <c r="AT86" i="1"/>
  <c r="F112" i="18" s="1"/>
  <c r="AT87" i="1"/>
  <c r="F113" i="18" s="1"/>
  <c r="AT88" i="1"/>
  <c r="F114" i="18" s="1"/>
  <c r="AT89" i="1"/>
  <c r="F115" i="18" s="1"/>
  <c r="AT90" i="1"/>
  <c r="F116" i="18" s="1"/>
  <c r="AT91" i="1"/>
  <c r="F117" i="18" s="1"/>
  <c r="AT92" i="1"/>
  <c r="F118" i="18" s="1"/>
  <c r="AT93" i="1"/>
  <c r="F119" i="18" s="1"/>
  <c r="AT94" i="1"/>
  <c r="F120" i="18" s="1"/>
  <c r="AT95" i="1"/>
  <c r="F121" i="18" s="1"/>
  <c r="AT96" i="1"/>
  <c r="F122" i="18" s="1"/>
  <c r="AT97" i="1"/>
  <c r="F123" i="18" s="1"/>
  <c r="AT98" i="1"/>
  <c r="F124" i="18" s="1"/>
  <c r="AT99" i="1"/>
  <c r="F125" i="18" s="1"/>
  <c r="AT100" i="1"/>
  <c r="F126" i="18" s="1"/>
  <c r="AT101" i="1"/>
  <c r="AT102" i="1"/>
  <c r="AT103" i="1"/>
  <c r="F135" i="18" s="1"/>
  <c r="AT104" i="1"/>
  <c r="F136" i="18" s="1"/>
  <c r="AT105" i="1"/>
  <c r="F137" i="18" s="1"/>
  <c r="AT106" i="1"/>
  <c r="F138" i="18" s="1"/>
  <c r="AT107" i="1"/>
  <c r="F139" i="18" s="1"/>
  <c r="AT108" i="1"/>
  <c r="F140" i="18" s="1"/>
  <c r="AT109" i="1"/>
  <c r="F141" i="18" s="1"/>
  <c r="AT110" i="1"/>
  <c r="F142" i="18" s="1"/>
  <c r="AT111" i="1"/>
  <c r="F143" i="18" s="1"/>
  <c r="AT112" i="1"/>
  <c r="F144" i="18" s="1"/>
  <c r="AT113" i="1"/>
  <c r="AT114" i="1"/>
  <c r="AT115" i="1"/>
  <c r="F153" i="18" s="1"/>
  <c r="AT116" i="1"/>
  <c r="F154" i="18" s="1"/>
  <c r="AT117" i="1"/>
  <c r="F155" i="18" s="1"/>
  <c r="AT118" i="1"/>
  <c r="F156" i="18" s="1"/>
  <c r="AT119" i="1"/>
  <c r="F157" i="18" s="1"/>
  <c r="AT120" i="1"/>
  <c r="F158" i="18" s="1"/>
  <c r="AT121" i="1"/>
  <c r="F159" i="18" s="1"/>
  <c r="AT122" i="1"/>
  <c r="F160" i="18" s="1"/>
  <c r="AT123" i="1"/>
  <c r="F161" i="18" s="1"/>
  <c r="AT124" i="1"/>
  <c r="F162" i="18" s="1"/>
  <c r="AT125" i="1"/>
  <c r="F163" i="18" s="1"/>
  <c r="AT126" i="1"/>
  <c r="F164" i="18" s="1"/>
  <c r="AT127" i="1"/>
  <c r="F165" i="18" s="1"/>
  <c r="AT128" i="1"/>
  <c r="F166" i="18" s="1"/>
  <c r="AT129" i="1"/>
  <c r="AT130" i="1"/>
  <c r="AT131" i="1"/>
  <c r="F175" i="18" s="1"/>
  <c r="AT132" i="1"/>
  <c r="F176" i="18" s="1"/>
  <c r="AT133" i="1"/>
  <c r="F177" i="18" s="1"/>
  <c r="AT134" i="1"/>
  <c r="F178" i="18" s="1"/>
  <c r="AT135" i="1"/>
  <c r="F179" i="18" s="1"/>
  <c r="AT136" i="1"/>
  <c r="F180" i="18" s="1"/>
  <c r="AT137" i="1"/>
  <c r="AT138" i="1"/>
  <c r="AT139" i="1"/>
  <c r="F189" i="18" s="1"/>
  <c r="AT140" i="1"/>
  <c r="F190" i="18" s="1"/>
  <c r="AT141" i="1"/>
  <c r="AT142" i="1"/>
  <c r="AT143" i="1"/>
  <c r="F200" i="18" s="1"/>
  <c r="AT144" i="1"/>
  <c r="F201" i="18" s="1"/>
  <c r="AT9" i="1"/>
  <c r="F10" i="18" s="1"/>
  <c r="E68" i="4"/>
  <c r="E67" i="4"/>
  <c r="E66" i="4"/>
  <c r="E65" i="4"/>
  <c r="E64" i="4"/>
  <c r="E40" i="4"/>
  <c r="C42" i="4"/>
  <c r="D42" i="4"/>
  <c r="C43" i="4"/>
  <c r="D43" i="4"/>
  <c r="C44" i="4"/>
  <c r="D44" i="4"/>
  <c r="C45" i="4"/>
  <c r="D45" i="4"/>
  <c r="C46" i="4"/>
  <c r="D46" i="4"/>
  <c r="C47" i="4"/>
  <c r="D47" i="4"/>
  <c r="C48" i="4"/>
  <c r="D48" i="4"/>
  <c r="C49" i="4"/>
  <c r="D49" i="4"/>
  <c r="C50" i="4"/>
  <c r="D50" i="4"/>
  <c r="C51" i="4"/>
  <c r="D51" i="4"/>
  <c r="C52" i="4"/>
  <c r="D52" i="4"/>
  <c r="C53" i="4"/>
  <c r="D53" i="4"/>
  <c r="C54" i="4"/>
  <c r="D54" i="4"/>
  <c r="C55" i="4"/>
  <c r="D55" i="4"/>
  <c r="C56" i="4"/>
  <c r="D56" i="4"/>
  <c r="C57" i="4"/>
  <c r="D57" i="4"/>
  <c r="C58" i="4"/>
  <c r="D58" i="4"/>
  <c r="C59" i="4"/>
  <c r="D59" i="4"/>
  <c r="C60" i="4"/>
  <c r="D60" i="4"/>
  <c r="C61" i="4"/>
  <c r="D61" i="4"/>
  <c r="C62" i="4"/>
  <c r="D62" i="4"/>
  <c r="D41" i="4"/>
  <c r="C41" i="4"/>
  <c r="F224" i="2" a="1"/>
  <c r="F224" i="2" s="1"/>
  <c r="F225" i="2" a="1"/>
  <c r="F225" i="2" s="1"/>
  <c r="F171" i="17"/>
  <c r="G171" i="17"/>
  <c r="H171" i="17"/>
  <c r="C171" i="17"/>
  <c r="D171" i="17"/>
  <c r="A128" i="5"/>
  <c r="A124" i="5"/>
  <c r="A125" i="5"/>
  <c r="A126" i="5"/>
  <c r="A127" i="5"/>
  <c r="A123" i="5"/>
  <c r="A120" i="5"/>
  <c r="A113" i="5"/>
  <c r="A114" i="5"/>
  <c r="A115" i="5"/>
  <c r="A116" i="5"/>
  <c r="A117" i="5"/>
  <c r="A118" i="5"/>
  <c r="A119" i="5"/>
  <c r="A112" i="5"/>
  <c r="H23" i="16"/>
  <c r="E76" i="4"/>
  <c r="R137" i="1"/>
  <c r="S137" i="1"/>
  <c r="T137" i="1"/>
  <c r="U137" i="1"/>
  <c r="V137" i="1"/>
  <c r="W137" i="1"/>
  <c r="AB137" i="1" s="1"/>
  <c r="X137" i="1"/>
  <c r="AJ137" i="1" s="1"/>
  <c r="Y137" i="1"/>
  <c r="AK137" i="1" s="1"/>
  <c r="Z137" i="1"/>
  <c r="AL137" i="1" s="1"/>
  <c r="AA137" i="1"/>
  <c r="R138" i="1"/>
  <c r="S138" i="1"/>
  <c r="T138" i="1"/>
  <c r="U138" i="1"/>
  <c r="V138" i="1"/>
  <c r="W138" i="1"/>
  <c r="AB138" i="1" s="1"/>
  <c r="X138" i="1"/>
  <c r="Y138" i="1"/>
  <c r="Z138" i="1"/>
  <c r="AF138" i="1" s="1"/>
  <c r="AA138" i="1"/>
  <c r="R139" i="1"/>
  <c r="S139" i="1"/>
  <c r="T139" i="1"/>
  <c r="U139" i="1"/>
  <c r="R140" i="1"/>
  <c r="S140" i="1"/>
  <c r="T140" i="1"/>
  <c r="U140" i="1"/>
  <c r="R141" i="1"/>
  <c r="S141" i="1"/>
  <c r="T141" i="1"/>
  <c r="U141" i="1"/>
  <c r="X141" i="1"/>
  <c r="AA141" i="1"/>
  <c r="X142" i="1"/>
  <c r="AA142" i="1"/>
  <c r="R143" i="1"/>
  <c r="S143" i="1"/>
  <c r="T143" i="1"/>
  <c r="U143" i="1"/>
  <c r="R144" i="1"/>
  <c r="S144" i="1"/>
  <c r="T144" i="1"/>
  <c r="U144" i="1"/>
  <c r="S10" i="1"/>
  <c r="T10" i="1"/>
  <c r="U10" i="1"/>
  <c r="V10" i="1"/>
  <c r="W10" i="1"/>
  <c r="X10" i="1"/>
  <c r="Y10" i="1"/>
  <c r="Z10" i="1"/>
  <c r="AF10" i="1" s="1"/>
  <c r="S11" i="1"/>
  <c r="T11" i="1"/>
  <c r="U11" i="1"/>
  <c r="V11" i="1"/>
  <c r="W11" i="1"/>
  <c r="X11" i="1"/>
  <c r="Y11" i="1"/>
  <c r="Z11" i="1"/>
  <c r="AF11" i="1" s="1"/>
  <c r="S12" i="1"/>
  <c r="T12" i="1"/>
  <c r="U12" i="1"/>
  <c r="V12" i="1"/>
  <c r="W12" i="1"/>
  <c r="X12" i="1"/>
  <c r="Y12" i="1"/>
  <c r="Z12" i="1"/>
  <c r="AF12" i="1" s="1"/>
  <c r="S13" i="1"/>
  <c r="T13" i="1"/>
  <c r="U13" i="1"/>
  <c r="V13" i="1"/>
  <c r="W13" i="1"/>
  <c r="X13" i="1"/>
  <c r="Y13" i="1"/>
  <c r="Z13" i="1"/>
  <c r="AF13" i="1" s="1"/>
  <c r="AA13" i="1"/>
  <c r="S14" i="1"/>
  <c r="T14" i="1"/>
  <c r="U14" i="1"/>
  <c r="V14" i="1"/>
  <c r="W14" i="1"/>
  <c r="X14" i="1"/>
  <c r="Y14" i="1"/>
  <c r="Z14" i="1"/>
  <c r="AA14" i="1"/>
  <c r="S15" i="1"/>
  <c r="T15" i="1"/>
  <c r="U15" i="1"/>
  <c r="V15" i="1"/>
  <c r="W15" i="1"/>
  <c r="AH15" i="1" s="1"/>
  <c r="X15" i="1"/>
  <c r="Y15" i="1"/>
  <c r="Z15" i="1"/>
  <c r="AF15" i="1" s="1"/>
  <c r="AA15" i="1"/>
  <c r="S16" i="1"/>
  <c r="T16" i="1"/>
  <c r="U16" i="1"/>
  <c r="V16" i="1"/>
  <c r="W16" i="1"/>
  <c r="AE16" i="1" s="1"/>
  <c r="X16" i="1"/>
  <c r="Y16" i="1"/>
  <c r="Z16" i="1"/>
  <c r="AF16" i="1" s="1"/>
  <c r="AA16" i="1"/>
  <c r="S17" i="1"/>
  <c r="T17" i="1"/>
  <c r="U17" i="1"/>
  <c r="V17" i="1"/>
  <c r="W17" i="1"/>
  <c r="X17" i="1"/>
  <c r="Y17" i="1"/>
  <c r="Z17" i="1"/>
  <c r="AF17" i="1" s="1"/>
  <c r="AA17" i="1"/>
  <c r="S18" i="1"/>
  <c r="T18" i="1"/>
  <c r="U18" i="1"/>
  <c r="V18" i="1"/>
  <c r="W18" i="1"/>
  <c r="AC18" i="1" s="1"/>
  <c r="X18" i="1"/>
  <c r="Y18" i="1"/>
  <c r="Z18" i="1"/>
  <c r="AF18" i="1" s="1"/>
  <c r="AA18" i="1"/>
  <c r="S19" i="1"/>
  <c r="T19" i="1"/>
  <c r="U19" i="1"/>
  <c r="V19" i="1"/>
  <c r="W19" i="1"/>
  <c r="X19" i="1"/>
  <c r="Y19" i="1"/>
  <c r="Z19" i="1"/>
  <c r="AF19" i="1" s="1"/>
  <c r="AA19" i="1"/>
  <c r="S20" i="1"/>
  <c r="T20" i="1"/>
  <c r="U20" i="1"/>
  <c r="V20" i="1"/>
  <c r="W20" i="1"/>
  <c r="X20" i="1"/>
  <c r="Y20" i="1"/>
  <c r="Z20" i="1"/>
  <c r="AF20" i="1" s="1"/>
  <c r="AA20" i="1"/>
  <c r="S21" i="1"/>
  <c r="T21" i="1"/>
  <c r="U21" i="1"/>
  <c r="V21" i="1"/>
  <c r="W21" i="1"/>
  <c r="X21" i="1"/>
  <c r="Y21" i="1"/>
  <c r="Z21" i="1"/>
  <c r="AF21" i="1" s="1"/>
  <c r="AA21" i="1"/>
  <c r="S22" i="1"/>
  <c r="T22" i="1"/>
  <c r="U22" i="1"/>
  <c r="V22" i="1"/>
  <c r="W22" i="1"/>
  <c r="X22" i="1"/>
  <c r="Y22" i="1"/>
  <c r="Z22" i="1"/>
  <c r="AF22" i="1" s="1"/>
  <c r="AA22" i="1"/>
  <c r="S23" i="1"/>
  <c r="T23" i="1"/>
  <c r="U23" i="1"/>
  <c r="V23" i="1"/>
  <c r="W23" i="1"/>
  <c r="AC23" i="1" s="1"/>
  <c r="X23" i="1"/>
  <c r="Y23" i="1"/>
  <c r="Z23" i="1"/>
  <c r="AF23" i="1" s="1"/>
  <c r="AA23" i="1"/>
  <c r="S24" i="1"/>
  <c r="T24" i="1"/>
  <c r="U24" i="1"/>
  <c r="V24" i="1"/>
  <c r="W24" i="1"/>
  <c r="X24" i="1"/>
  <c r="Y24" i="1"/>
  <c r="Z24" i="1"/>
  <c r="AF24" i="1" s="1"/>
  <c r="AA24" i="1"/>
  <c r="S25" i="1"/>
  <c r="T25" i="1"/>
  <c r="U25" i="1"/>
  <c r="V25" i="1"/>
  <c r="W25" i="1"/>
  <c r="X25" i="1"/>
  <c r="Y25" i="1"/>
  <c r="Z25" i="1"/>
  <c r="AF25" i="1" s="1"/>
  <c r="AA25" i="1"/>
  <c r="S26" i="1"/>
  <c r="T26" i="1"/>
  <c r="U26" i="1"/>
  <c r="V26" i="1"/>
  <c r="W26" i="1"/>
  <c r="X26" i="1"/>
  <c r="Y26" i="1"/>
  <c r="Z26" i="1"/>
  <c r="AA26" i="1"/>
  <c r="S27" i="1"/>
  <c r="T27" i="1"/>
  <c r="U27" i="1"/>
  <c r="V27" i="1"/>
  <c r="W27" i="1"/>
  <c r="AE27" i="1" s="1"/>
  <c r="X27" i="1"/>
  <c r="Y27" i="1"/>
  <c r="Z27" i="1"/>
  <c r="AF27" i="1" s="1"/>
  <c r="AA27" i="1"/>
  <c r="S28" i="1"/>
  <c r="T28" i="1"/>
  <c r="U28" i="1"/>
  <c r="V28" i="1"/>
  <c r="W28" i="1"/>
  <c r="AE28" i="1" s="1"/>
  <c r="X28" i="1"/>
  <c r="Y28" i="1"/>
  <c r="Z28" i="1"/>
  <c r="AF28" i="1" s="1"/>
  <c r="AA28" i="1"/>
  <c r="S29" i="1"/>
  <c r="T29" i="1"/>
  <c r="U29" i="1"/>
  <c r="V29" i="1"/>
  <c r="W29" i="1"/>
  <c r="X29" i="1"/>
  <c r="Y29" i="1"/>
  <c r="Z29" i="1"/>
  <c r="AF29" i="1" s="1"/>
  <c r="AA29" i="1"/>
  <c r="S30" i="1"/>
  <c r="T30" i="1"/>
  <c r="U30" i="1"/>
  <c r="V30" i="1"/>
  <c r="W30" i="1"/>
  <c r="X30" i="1"/>
  <c r="Y30" i="1"/>
  <c r="Z30" i="1"/>
  <c r="AF30" i="1" s="1"/>
  <c r="AA30" i="1"/>
  <c r="S31" i="1"/>
  <c r="T31" i="1"/>
  <c r="U31" i="1"/>
  <c r="V31" i="1"/>
  <c r="W31" i="1"/>
  <c r="X31" i="1"/>
  <c r="Y31" i="1"/>
  <c r="Z31" i="1"/>
  <c r="AF31" i="1" s="1"/>
  <c r="AA31" i="1"/>
  <c r="S32" i="1"/>
  <c r="T32" i="1"/>
  <c r="U32" i="1"/>
  <c r="V32" i="1"/>
  <c r="W32" i="1"/>
  <c r="AG32" i="1" s="1"/>
  <c r="X32" i="1"/>
  <c r="Y32" i="1"/>
  <c r="Z32" i="1"/>
  <c r="AF32" i="1" s="1"/>
  <c r="AA32" i="1"/>
  <c r="S33" i="1"/>
  <c r="T33" i="1"/>
  <c r="U33" i="1"/>
  <c r="V33" i="1"/>
  <c r="W33" i="1"/>
  <c r="AG33" i="1" s="1"/>
  <c r="X33" i="1"/>
  <c r="Y33" i="1"/>
  <c r="Z33" i="1"/>
  <c r="AF33" i="1" s="1"/>
  <c r="AA33" i="1"/>
  <c r="S34" i="1"/>
  <c r="T34" i="1"/>
  <c r="U34" i="1"/>
  <c r="V34" i="1"/>
  <c r="W34" i="1"/>
  <c r="X34" i="1"/>
  <c r="Y34" i="1"/>
  <c r="Z34" i="1"/>
  <c r="AF34" i="1" s="1"/>
  <c r="AA34" i="1"/>
  <c r="S35" i="1"/>
  <c r="T35" i="1"/>
  <c r="U35" i="1"/>
  <c r="V35" i="1"/>
  <c r="W35" i="1"/>
  <c r="AE35" i="1" s="1"/>
  <c r="X35" i="1"/>
  <c r="Y35" i="1"/>
  <c r="Z35" i="1"/>
  <c r="AF35" i="1" s="1"/>
  <c r="AA35" i="1"/>
  <c r="S36" i="1"/>
  <c r="T36" i="1"/>
  <c r="U36" i="1"/>
  <c r="V36" i="1"/>
  <c r="W36" i="1"/>
  <c r="X36" i="1"/>
  <c r="Y36" i="1"/>
  <c r="Z36" i="1"/>
  <c r="AF36" i="1" s="1"/>
  <c r="AA36" i="1"/>
  <c r="S37" i="1"/>
  <c r="T37" i="1"/>
  <c r="U37" i="1"/>
  <c r="V37" i="1"/>
  <c r="W37" i="1"/>
  <c r="X37" i="1"/>
  <c r="Y37" i="1"/>
  <c r="Z37" i="1"/>
  <c r="AF37" i="1" s="1"/>
  <c r="AA37" i="1"/>
  <c r="S38" i="1"/>
  <c r="T38" i="1"/>
  <c r="U38" i="1"/>
  <c r="V38" i="1"/>
  <c r="W38" i="1"/>
  <c r="AC38" i="1" s="1"/>
  <c r="X38" i="1"/>
  <c r="Y38" i="1"/>
  <c r="Z38" i="1"/>
  <c r="AF38" i="1" s="1"/>
  <c r="AA38" i="1"/>
  <c r="S39" i="1"/>
  <c r="T39" i="1"/>
  <c r="U39" i="1"/>
  <c r="V39" i="1"/>
  <c r="W39" i="1"/>
  <c r="AE39" i="1" s="1"/>
  <c r="X39" i="1"/>
  <c r="Y39" i="1"/>
  <c r="Z39" i="1"/>
  <c r="AF39" i="1" s="1"/>
  <c r="AA39" i="1"/>
  <c r="S40" i="1"/>
  <c r="T40" i="1"/>
  <c r="U40" i="1"/>
  <c r="V40" i="1"/>
  <c r="W40" i="1"/>
  <c r="X40" i="1"/>
  <c r="Y40" i="1"/>
  <c r="Z40" i="1"/>
  <c r="AA40" i="1"/>
  <c r="S41" i="1"/>
  <c r="T41" i="1"/>
  <c r="U41" i="1"/>
  <c r="V41" i="1"/>
  <c r="W41" i="1"/>
  <c r="X41" i="1"/>
  <c r="Y41" i="1"/>
  <c r="Z41" i="1"/>
  <c r="AF41" i="1" s="1"/>
  <c r="AA41" i="1"/>
  <c r="S42" i="1"/>
  <c r="T42" i="1"/>
  <c r="U42" i="1"/>
  <c r="V42" i="1"/>
  <c r="W42" i="1"/>
  <c r="AD42" i="1" s="1"/>
  <c r="X42" i="1"/>
  <c r="Y42" i="1"/>
  <c r="Z42" i="1"/>
  <c r="AF42" i="1" s="1"/>
  <c r="AA42" i="1"/>
  <c r="S43" i="1"/>
  <c r="T43" i="1"/>
  <c r="U43" i="1"/>
  <c r="V43" i="1"/>
  <c r="W43" i="1"/>
  <c r="AD43" i="1" s="1"/>
  <c r="X43" i="1"/>
  <c r="Y43" i="1"/>
  <c r="Z43" i="1"/>
  <c r="AF43" i="1" s="1"/>
  <c r="AA43" i="1"/>
  <c r="S44" i="1"/>
  <c r="T44" i="1"/>
  <c r="U44" i="1"/>
  <c r="V44" i="1"/>
  <c r="W44" i="1"/>
  <c r="X44" i="1"/>
  <c r="Y44" i="1"/>
  <c r="Z44" i="1"/>
  <c r="AF44" i="1" s="1"/>
  <c r="AA44" i="1"/>
  <c r="S45" i="1"/>
  <c r="T45" i="1"/>
  <c r="U45" i="1"/>
  <c r="V45" i="1"/>
  <c r="W45" i="1"/>
  <c r="X45" i="1"/>
  <c r="Y45" i="1"/>
  <c r="Z45" i="1"/>
  <c r="AF45" i="1" s="1"/>
  <c r="AA45" i="1"/>
  <c r="S46" i="1"/>
  <c r="T46" i="1"/>
  <c r="U46" i="1"/>
  <c r="V46" i="1"/>
  <c r="W46" i="1"/>
  <c r="X46" i="1"/>
  <c r="Y46" i="1"/>
  <c r="Z46" i="1"/>
  <c r="AF46" i="1" s="1"/>
  <c r="AA46" i="1"/>
  <c r="S47" i="1"/>
  <c r="T47" i="1"/>
  <c r="U47" i="1"/>
  <c r="V47" i="1"/>
  <c r="W47" i="1"/>
  <c r="AD47" i="1" s="1"/>
  <c r="X47" i="1"/>
  <c r="Y47" i="1"/>
  <c r="Z47" i="1"/>
  <c r="AF47" i="1" s="1"/>
  <c r="S48" i="1"/>
  <c r="T48" i="1"/>
  <c r="U48" i="1"/>
  <c r="V48" i="1"/>
  <c r="W48" i="1"/>
  <c r="AH48" i="1" s="1"/>
  <c r="X48" i="1"/>
  <c r="Y48" i="1"/>
  <c r="Z48" i="1"/>
  <c r="AF48" i="1" s="1"/>
  <c r="S49" i="1"/>
  <c r="T49" i="1"/>
  <c r="U49" i="1"/>
  <c r="V49" i="1"/>
  <c r="W49" i="1"/>
  <c r="X49" i="1"/>
  <c r="Y49" i="1"/>
  <c r="Z49" i="1"/>
  <c r="AF49" i="1" s="1"/>
  <c r="S50" i="1"/>
  <c r="T50" i="1"/>
  <c r="U50" i="1"/>
  <c r="V50" i="1"/>
  <c r="W50" i="1"/>
  <c r="AD50" i="1" s="1"/>
  <c r="X50" i="1"/>
  <c r="Y50" i="1"/>
  <c r="Z50" i="1"/>
  <c r="AF50" i="1" s="1"/>
  <c r="S51" i="1"/>
  <c r="T51" i="1"/>
  <c r="U51" i="1"/>
  <c r="V51" i="1"/>
  <c r="W51" i="1"/>
  <c r="AH51" i="1" s="1"/>
  <c r="X51" i="1"/>
  <c r="Y51" i="1"/>
  <c r="Z51" i="1"/>
  <c r="AF51" i="1" s="1"/>
  <c r="AA51" i="1"/>
  <c r="S52" i="1"/>
  <c r="T52" i="1"/>
  <c r="U52" i="1"/>
  <c r="V52" i="1"/>
  <c r="W52" i="1"/>
  <c r="X52" i="1"/>
  <c r="Y52" i="1"/>
  <c r="Z52" i="1"/>
  <c r="AF52" i="1" s="1"/>
  <c r="AA52" i="1"/>
  <c r="S53" i="1"/>
  <c r="T53" i="1"/>
  <c r="U53" i="1"/>
  <c r="V53" i="1"/>
  <c r="W53" i="1"/>
  <c r="X53" i="1"/>
  <c r="Y53" i="1"/>
  <c r="Z53" i="1"/>
  <c r="AF53" i="1" s="1"/>
  <c r="AA53" i="1"/>
  <c r="S54" i="1"/>
  <c r="T54" i="1"/>
  <c r="U54" i="1"/>
  <c r="V54" i="1"/>
  <c r="W54" i="1"/>
  <c r="AD54" i="1" s="1"/>
  <c r="X54" i="1"/>
  <c r="Y54" i="1"/>
  <c r="Z54" i="1"/>
  <c r="AA54" i="1"/>
  <c r="S55" i="1"/>
  <c r="T55" i="1"/>
  <c r="U55" i="1"/>
  <c r="V55" i="1"/>
  <c r="W55" i="1"/>
  <c r="AH55" i="1" s="1"/>
  <c r="X55" i="1"/>
  <c r="Y55" i="1"/>
  <c r="Z55" i="1"/>
  <c r="AF55" i="1" s="1"/>
  <c r="AA55" i="1"/>
  <c r="S56" i="1"/>
  <c r="T56" i="1"/>
  <c r="U56" i="1"/>
  <c r="V56" i="1"/>
  <c r="W56" i="1"/>
  <c r="X56" i="1"/>
  <c r="Y56" i="1"/>
  <c r="Z56" i="1"/>
  <c r="AA56" i="1"/>
  <c r="S57" i="1"/>
  <c r="T57" i="1"/>
  <c r="U57" i="1"/>
  <c r="V57" i="1"/>
  <c r="W57" i="1"/>
  <c r="X57" i="1"/>
  <c r="Y57" i="1"/>
  <c r="Z57" i="1"/>
  <c r="AF57" i="1" s="1"/>
  <c r="AA57" i="1"/>
  <c r="S58" i="1"/>
  <c r="T58" i="1"/>
  <c r="U58" i="1"/>
  <c r="V58" i="1"/>
  <c r="W58" i="1"/>
  <c r="X58" i="1"/>
  <c r="Y58" i="1"/>
  <c r="Z58" i="1"/>
  <c r="AF58" i="1" s="1"/>
  <c r="AA58" i="1"/>
  <c r="S59" i="1"/>
  <c r="T59" i="1"/>
  <c r="U59" i="1"/>
  <c r="V59" i="1"/>
  <c r="W59" i="1"/>
  <c r="AD59" i="1" s="1"/>
  <c r="X59" i="1"/>
  <c r="Y59" i="1"/>
  <c r="Z59" i="1"/>
  <c r="AF59" i="1" s="1"/>
  <c r="AA59" i="1"/>
  <c r="S60" i="1"/>
  <c r="T60" i="1"/>
  <c r="U60" i="1"/>
  <c r="V60" i="1"/>
  <c r="W60" i="1"/>
  <c r="X60" i="1"/>
  <c r="Y60" i="1"/>
  <c r="Z60" i="1"/>
  <c r="AF60" i="1" s="1"/>
  <c r="AA60" i="1"/>
  <c r="S61" i="1"/>
  <c r="T61" i="1"/>
  <c r="U61" i="1"/>
  <c r="V61" i="1"/>
  <c r="W61" i="1"/>
  <c r="X61" i="1"/>
  <c r="Y61" i="1"/>
  <c r="Z61" i="1"/>
  <c r="AF61" i="1" s="1"/>
  <c r="AA61" i="1"/>
  <c r="S62" i="1"/>
  <c r="T62" i="1"/>
  <c r="U62" i="1"/>
  <c r="V62" i="1"/>
  <c r="W62" i="1"/>
  <c r="X62" i="1"/>
  <c r="Y62" i="1"/>
  <c r="Z62" i="1"/>
  <c r="AF62" i="1" s="1"/>
  <c r="AA62" i="1"/>
  <c r="S63" i="1"/>
  <c r="T63" i="1"/>
  <c r="U63" i="1"/>
  <c r="V63" i="1"/>
  <c r="W63" i="1"/>
  <c r="AD63" i="1" s="1"/>
  <c r="X63" i="1"/>
  <c r="Y63" i="1"/>
  <c r="Z63" i="1"/>
  <c r="AF63" i="1" s="1"/>
  <c r="AA63" i="1"/>
  <c r="S64" i="1"/>
  <c r="T64" i="1"/>
  <c r="U64" i="1"/>
  <c r="V64" i="1"/>
  <c r="W64" i="1"/>
  <c r="AH64" i="1" s="1"/>
  <c r="X64" i="1"/>
  <c r="Y64" i="1"/>
  <c r="Z64" i="1"/>
  <c r="AF64" i="1" s="1"/>
  <c r="AA64" i="1"/>
  <c r="S65" i="1"/>
  <c r="T65" i="1"/>
  <c r="U65" i="1"/>
  <c r="V65" i="1"/>
  <c r="W65" i="1"/>
  <c r="X65" i="1"/>
  <c r="Y65" i="1"/>
  <c r="Z65" i="1"/>
  <c r="AF65" i="1" s="1"/>
  <c r="AA65" i="1"/>
  <c r="S66" i="1"/>
  <c r="T66" i="1"/>
  <c r="U66" i="1"/>
  <c r="V66" i="1"/>
  <c r="W66" i="1"/>
  <c r="X66" i="1"/>
  <c r="Y66" i="1"/>
  <c r="Z66" i="1"/>
  <c r="AF66" i="1" s="1"/>
  <c r="AA66" i="1"/>
  <c r="S67" i="1"/>
  <c r="T67" i="1"/>
  <c r="U67" i="1"/>
  <c r="V67" i="1"/>
  <c r="W67" i="1"/>
  <c r="AG67" i="1" s="1"/>
  <c r="X67" i="1"/>
  <c r="Y67" i="1"/>
  <c r="Z67" i="1"/>
  <c r="AF67" i="1" s="1"/>
  <c r="AA67" i="1"/>
  <c r="S68" i="1"/>
  <c r="T68" i="1"/>
  <c r="U68" i="1"/>
  <c r="V68" i="1"/>
  <c r="W68" i="1"/>
  <c r="X68" i="1"/>
  <c r="Y68" i="1"/>
  <c r="Z68" i="1"/>
  <c r="AF68" i="1" s="1"/>
  <c r="AA68" i="1"/>
  <c r="S69" i="1"/>
  <c r="T69" i="1"/>
  <c r="U69" i="1"/>
  <c r="V69" i="1"/>
  <c r="W69" i="1"/>
  <c r="X69" i="1"/>
  <c r="Y69" i="1"/>
  <c r="Z69" i="1"/>
  <c r="AF69" i="1" s="1"/>
  <c r="AA69" i="1"/>
  <c r="S70" i="1"/>
  <c r="T70" i="1"/>
  <c r="U70" i="1"/>
  <c r="V70" i="1"/>
  <c r="W70" i="1"/>
  <c r="AE70" i="1" s="1"/>
  <c r="X70" i="1"/>
  <c r="Y70" i="1"/>
  <c r="Z70" i="1"/>
  <c r="AF70" i="1" s="1"/>
  <c r="AA70" i="1"/>
  <c r="S71" i="1"/>
  <c r="T71" i="1"/>
  <c r="U71" i="1"/>
  <c r="V71" i="1"/>
  <c r="W71" i="1"/>
  <c r="AC71" i="1" s="1"/>
  <c r="X71" i="1"/>
  <c r="Y71" i="1"/>
  <c r="Z71" i="1"/>
  <c r="AF71" i="1" s="1"/>
  <c r="AA71" i="1"/>
  <c r="S72" i="1"/>
  <c r="T72" i="1"/>
  <c r="U72" i="1"/>
  <c r="V72" i="1"/>
  <c r="W72" i="1"/>
  <c r="AD72" i="1" s="1"/>
  <c r="X72" i="1"/>
  <c r="Y72" i="1"/>
  <c r="Z72" i="1"/>
  <c r="AF72" i="1" s="1"/>
  <c r="AA72" i="1"/>
  <c r="S73" i="1"/>
  <c r="T73" i="1"/>
  <c r="U73" i="1"/>
  <c r="V73" i="1"/>
  <c r="W73" i="1"/>
  <c r="X73" i="1"/>
  <c r="Y73" i="1"/>
  <c r="Z73" i="1"/>
  <c r="AF73" i="1" s="1"/>
  <c r="AA73" i="1"/>
  <c r="S74" i="1"/>
  <c r="T74" i="1"/>
  <c r="U74" i="1"/>
  <c r="V74" i="1"/>
  <c r="W74" i="1"/>
  <c r="AD74" i="1" s="1"/>
  <c r="X74" i="1"/>
  <c r="Y74" i="1"/>
  <c r="Z74" i="1"/>
  <c r="AF74" i="1" s="1"/>
  <c r="AA74" i="1"/>
  <c r="S75" i="1"/>
  <c r="T75" i="1"/>
  <c r="U75" i="1"/>
  <c r="V75" i="1"/>
  <c r="W75" i="1"/>
  <c r="AG75" i="1" s="1"/>
  <c r="X75" i="1"/>
  <c r="Y75" i="1"/>
  <c r="Z75" i="1"/>
  <c r="AF75" i="1" s="1"/>
  <c r="AA75" i="1"/>
  <c r="S76" i="1"/>
  <c r="T76" i="1"/>
  <c r="U76" i="1"/>
  <c r="V76" i="1"/>
  <c r="W76" i="1"/>
  <c r="X76" i="1"/>
  <c r="Y76" i="1"/>
  <c r="Z76" i="1"/>
  <c r="AF76" i="1" s="1"/>
  <c r="AA76" i="1"/>
  <c r="S77" i="1"/>
  <c r="T77" i="1"/>
  <c r="U77" i="1"/>
  <c r="V77" i="1"/>
  <c r="W77" i="1"/>
  <c r="X77" i="1"/>
  <c r="Y77" i="1"/>
  <c r="Z77" i="1"/>
  <c r="AF77" i="1" s="1"/>
  <c r="AA77" i="1"/>
  <c r="S78" i="1"/>
  <c r="T78" i="1"/>
  <c r="U78" i="1"/>
  <c r="V78" i="1"/>
  <c r="W78" i="1"/>
  <c r="AE78" i="1" s="1"/>
  <c r="X78" i="1"/>
  <c r="Y78" i="1"/>
  <c r="Z78" i="1"/>
  <c r="AA78" i="1"/>
  <c r="S79" i="1"/>
  <c r="T79" i="1"/>
  <c r="U79" i="1"/>
  <c r="V79" i="1"/>
  <c r="W79" i="1"/>
  <c r="AC79" i="1" s="1"/>
  <c r="X79" i="1"/>
  <c r="Y79" i="1"/>
  <c r="Z79" i="1"/>
  <c r="AF79" i="1" s="1"/>
  <c r="AA79" i="1"/>
  <c r="S80" i="1"/>
  <c r="T80" i="1"/>
  <c r="U80" i="1"/>
  <c r="V80" i="1"/>
  <c r="W80" i="1"/>
  <c r="AD80" i="1" s="1"/>
  <c r="X80" i="1"/>
  <c r="Y80" i="1"/>
  <c r="Z80" i="1"/>
  <c r="AF80" i="1" s="1"/>
  <c r="AA80" i="1"/>
  <c r="S81" i="1"/>
  <c r="T81" i="1"/>
  <c r="U81" i="1"/>
  <c r="V81" i="1"/>
  <c r="W81" i="1"/>
  <c r="X81" i="1"/>
  <c r="Y81" i="1"/>
  <c r="Z81" i="1"/>
  <c r="AF81" i="1" s="1"/>
  <c r="AA81" i="1"/>
  <c r="S82" i="1"/>
  <c r="T82" i="1"/>
  <c r="U82" i="1"/>
  <c r="V82" i="1"/>
  <c r="W82" i="1"/>
  <c r="AD82" i="1" s="1"/>
  <c r="X82" i="1"/>
  <c r="Y82" i="1"/>
  <c r="Z82" i="1"/>
  <c r="AF82" i="1" s="1"/>
  <c r="AA82" i="1"/>
  <c r="S83" i="1"/>
  <c r="T83" i="1"/>
  <c r="U83" i="1"/>
  <c r="V83" i="1"/>
  <c r="W83" i="1"/>
  <c r="AG83" i="1" s="1"/>
  <c r="X83" i="1"/>
  <c r="Y83" i="1"/>
  <c r="Z83" i="1"/>
  <c r="AF83" i="1" s="1"/>
  <c r="AA83" i="1"/>
  <c r="S84" i="1"/>
  <c r="T84" i="1"/>
  <c r="U84" i="1"/>
  <c r="V84" i="1"/>
  <c r="W84" i="1"/>
  <c r="X84" i="1"/>
  <c r="Y84" i="1"/>
  <c r="Z84" i="1"/>
  <c r="AF84" i="1" s="1"/>
  <c r="AA84" i="1"/>
  <c r="S85" i="1"/>
  <c r="T85" i="1"/>
  <c r="U85" i="1"/>
  <c r="V85" i="1"/>
  <c r="W85" i="1"/>
  <c r="X85" i="1"/>
  <c r="Y85" i="1"/>
  <c r="Z85" i="1"/>
  <c r="AF85" i="1" s="1"/>
  <c r="S86" i="1"/>
  <c r="T86" i="1"/>
  <c r="U86" i="1"/>
  <c r="V86" i="1"/>
  <c r="W86" i="1"/>
  <c r="X86" i="1"/>
  <c r="Y86" i="1"/>
  <c r="Z86" i="1"/>
  <c r="S87" i="1"/>
  <c r="T87" i="1"/>
  <c r="U87" i="1"/>
  <c r="V87" i="1"/>
  <c r="W87" i="1"/>
  <c r="X87" i="1"/>
  <c r="Y87" i="1"/>
  <c r="Z87" i="1"/>
  <c r="S88" i="1"/>
  <c r="T88" i="1"/>
  <c r="U88" i="1"/>
  <c r="V88" i="1"/>
  <c r="W88" i="1"/>
  <c r="X88" i="1"/>
  <c r="Y88" i="1"/>
  <c r="Z88" i="1"/>
  <c r="AF88" i="1" s="1"/>
  <c r="AA88" i="1"/>
  <c r="S89" i="1"/>
  <c r="T89" i="1"/>
  <c r="U89" i="1"/>
  <c r="V89" i="1"/>
  <c r="W89" i="1"/>
  <c r="AG89" i="1" s="1"/>
  <c r="X89" i="1"/>
  <c r="Y89" i="1"/>
  <c r="Z89" i="1"/>
  <c r="AF89" i="1" s="1"/>
  <c r="AA89" i="1"/>
  <c r="S90" i="1"/>
  <c r="T90" i="1"/>
  <c r="U90" i="1"/>
  <c r="V90" i="1"/>
  <c r="W90" i="1"/>
  <c r="AH90" i="1" s="1"/>
  <c r="X90" i="1"/>
  <c r="Y90" i="1"/>
  <c r="Z90" i="1"/>
  <c r="AF90" i="1" s="1"/>
  <c r="AA90" i="1"/>
  <c r="S91" i="1"/>
  <c r="T91" i="1"/>
  <c r="U91" i="1"/>
  <c r="V91" i="1"/>
  <c r="W91" i="1"/>
  <c r="AG91" i="1" s="1"/>
  <c r="X91" i="1"/>
  <c r="Y91" i="1"/>
  <c r="Z91" i="1"/>
  <c r="AF91" i="1" s="1"/>
  <c r="AA91" i="1"/>
  <c r="S92" i="1"/>
  <c r="T92" i="1"/>
  <c r="U92" i="1"/>
  <c r="V92" i="1"/>
  <c r="W92" i="1"/>
  <c r="X92" i="1"/>
  <c r="Y92" i="1"/>
  <c r="Z92" i="1"/>
  <c r="AF92" i="1" s="1"/>
  <c r="AA92" i="1"/>
  <c r="S93" i="1"/>
  <c r="T93" i="1"/>
  <c r="U93" i="1"/>
  <c r="V93" i="1"/>
  <c r="W93" i="1"/>
  <c r="X93" i="1"/>
  <c r="Y93" i="1"/>
  <c r="Z93" i="1"/>
  <c r="AF93" i="1" s="1"/>
  <c r="AA93" i="1"/>
  <c r="S94" i="1"/>
  <c r="T94" i="1"/>
  <c r="U94" i="1"/>
  <c r="V94" i="1"/>
  <c r="W94" i="1"/>
  <c r="AD94" i="1" s="1"/>
  <c r="X94" i="1"/>
  <c r="Y94" i="1"/>
  <c r="Z94" i="1"/>
  <c r="AF94" i="1" s="1"/>
  <c r="AA94" i="1"/>
  <c r="S95" i="1"/>
  <c r="T95" i="1"/>
  <c r="U95" i="1"/>
  <c r="V95" i="1"/>
  <c r="W95" i="1"/>
  <c r="AD95" i="1" s="1"/>
  <c r="X95" i="1"/>
  <c r="Y95" i="1"/>
  <c r="Z95" i="1"/>
  <c r="AA95" i="1"/>
  <c r="S96" i="1"/>
  <c r="T96" i="1"/>
  <c r="U96" i="1"/>
  <c r="V96" i="1"/>
  <c r="W96" i="1"/>
  <c r="AB96" i="1" s="1"/>
  <c r="X96" i="1"/>
  <c r="Y96" i="1"/>
  <c r="Z96" i="1"/>
  <c r="AF96" i="1" s="1"/>
  <c r="AA96" i="1"/>
  <c r="S97" i="1"/>
  <c r="T97" i="1"/>
  <c r="U97" i="1"/>
  <c r="V97" i="1"/>
  <c r="W97" i="1"/>
  <c r="AB97" i="1" s="1"/>
  <c r="X97" i="1"/>
  <c r="Y97" i="1"/>
  <c r="Z97" i="1"/>
  <c r="AA97" i="1"/>
  <c r="S98" i="1"/>
  <c r="T98" i="1"/>
  <c r="U98" i="1"/>
  <c r="V98" i="1"/>
  <c r="W98" i="1"/>
  <c r="AB98" i="1" s="1"/>
  <c r="X98" i="1"/>
  <c r="Y98" i="1"/>
  <c r="Z98" i="1"/>
  <c r="AF98" i="1" s="1"/>
  <c r="AA98" i="1"/>
  <c r="S99" i="1"/>
  <c r="T99" i="1"/>
  <c r="U99" i="1"/>
  <c r="V99" i="1"/>
  <c r="W99" i="1"/>
  <c r="AB99" i="1" s="1"/>
  <c r="X99" i="1"/>
  <c r="Y99" i="1"/>
  <c r="Z99" i="1"/>
  <c r="AA99" i="1"/>
  <c r="S100" i="1"/>
  <c r="T100" i="1"/>
  <c r="U100" i="1"/>
  <c r="V100" i="1"/>
  <c r="W100" i="1"/>
  <c r="AB100" i="1" s="1"/>
  <c r="X100" i="1"/>
  <c r="Y100" i="1"/>
  <c r="Z100" i="1"/>
  <c r="AF100" i="1" s="1"/>
  <c r="AA100" i="1"/>
  <c r="S101" i="1"/>
  <c r="T101" i="1"/>
  <c r="U101" i="1"/>
  <c r="V101" i="1"/>
  <c r="W101" i="1"/>
  <c r="AB101" i="1" s="1"/>
  <c r="X101" i="1"/>
  <c r="Y101" i="1"/>
  <c r="Z101" i="1"/>
  <c r="AA101" i="1"/>
  <c r="S102" i="1"/>
  <c r="T102" i="1"/>
  <c r="U102" i="1"/>
  <c r="V102" i="1"/>
  <c r="W102" i="1"/>
  <c r="AB102" i="1" s="1"/>
  <c r="X102" i="1"/>
  <c r="Y102" i="1"/>
  <c r="Z102" i="1"/>
  <c r="AF102" i="1" s="1"/>
  <c r="AA102" i="1"/>
  <c r="S103" i="1"/>
  <c r="T103" i="1"/>
  <c r="U103" i="1"/>
  <c r="V103" i="1"/>
  <c r="W103" i="1"/>
  <c r="AB103" i="1" s="1"/>
  <c r="X103" i="1"/>
  <c r="Y103" i="1"/>
  <c r="Z103" i="1"/>
  <c r="AA103" i="1"/>
  <c r="S104" i="1"/>
  <c r="T104" i="1"/>
  <c r="U104" i="1"/>
  <c r="V104" i="1"/>
  <c r="W104" i="1"/>
  <c r="AB104" i="1" s="1"/>
  <c r="X104" i="1"/>
  <c r="Y104" i="1"/>
  <c r="Z104" i="1"/>
  <c r="AF104" i="1" s="1"/>
  <c r="AA104" i="1"/>
  <c r="S105" i="1"/>
  <c r="T105" i="1"/>
  <c r="U105" i="1"/>
  <c r="V105" i="1"/>
  <c r="W105" i="1"/>
  <c r="AB105" i="1" s="1"/>
  <c r="X105" i="1"/>
  <c r="Y105" i="1"/>
  <c r="Z105" i="1"/>
  <c r="AA105" i="1"/>
  <c r="S106" i="1"/>
  <c r="T106" i="1"/>
  <c r="U106" i="1"/>
  <c r="V106" i="1"/>
  <c r="W106" i="1"/>
  <c r="AB106" i="1" s="1"/>
  <c r="X106" i="1"/>
  <c r="Y106" i="1"/>
  <c r="Z106" i="1"/>
  <c r="AF106" i="1" s="1"/>
  <c r="AA106" i="1"/>
  <c r="S107" i="1"/>
  <c r="T107" i="1"/>
  <c r="U107" i="1"/>
  <c r="V107" i="1"/>
  <c r="W107" i="1"/>
  <c r="AB107" i="1" s="1"/>
  <c r="X107" i="1"/>
  <c r="Y107" i="1"/>
  <c r="Z107" i="1"/>
  <c r="AA107" i="1"/>
  <c r="S108" i="1"/>
  <c r="T108" i="1"/>
  <c r="U108" i="1"/>
  <c r="V108" i="1"/>
  <c r="W108" i="1"/>
  <c r="AB108" i="1" s="1"/>
  <c r="X108" i="1"/>
  <c r="Y108" i="1"/>
  <c r="Z108" i="1"/>
  <c r="AF108" i="1" s="1"/>
  <c r="AA108" i="1"/>
  <c r="S109" i="1"/>
  <c r="T109" i="1"/>
  <c r="U109" i="1"/>
  <c r="V109" i="1"/>
  <c r="W109" i="1"/>
  <c r="AB109" i="1" s="1"/>
  <c r="X109" i="1"/>
  <c r="Y109" i="1"/>
  <c r="Z109" i="1"/>
  <c r="AA109" i="1"/>
  <c r="S110" i="1"/>
  <c r="T110" i="1"/>
  <c r="U110" i="1"/>
  <c r="V110" i="1"/>
  <c r="W110" i="1"/>
  <c r="AB110" i="1" s="1"/>
  <c r="X110" i="1"/>
  <c r="Y110" i="1"/>
  <c r="Z110" i="1"/>
  <c r="AF110" i="1" s="1"/>
  <c r="AA110" i="1"/>
  <c r="S111" i="1"/>
  <c r="T111" i="1"/>
  <c r="U111" i="1"/>
  <c r="V111" i="1"/>
  <c r="W111" i="1"/>
  <c r="AB111" i="1" s="1"/>
  <c r="X111" i="1"/>
  <c r="Y111" i="1"/>
  <c r="Z111" i="1"/>
  <c r="AA111" i="1"/>
  <c r="S112" i="1"/>
  <c r="T112" i="1"/>
  <c r="U112" i="1"/>
  <c r="V112" i="1"/>
  <c r="W112" i="1"/>
  <c r="AB112" i="1" s="1"/>
  <c r="X112" i="1"/>
  <c r="Y112" i="1"/>
  <c r="Z112" i="1"/>
  <c r="AF112" i="1" s="1"/>
  <c r="AA112" i="1"/>
  <c r="S113" i="1"/>
  <c r="T113" i="1"/>
  <c r="U113" i="1"/>
  <c r="V113" i="1"/>
  <c r="W113" i="1"/>
  <c r="AB113" i="1" s="1"/>
  <c r="X113" i="1"/>
  <c r="Y113" i="1"/>
  <c r="Z113" i="1"/>
  <c r="AA113" i="1"/>
  <c r="S114" i="1"/>
  <c r="T114" i="1"/>
  <c r="U114" i="1"/>
  <c r="V114" i="1"/>
  <c r="W114" i="1"/>
  <c r="AB114" i="1" s="1"/>
  <c r="X114" i="1"/>
  <c r="Y114" i="1"/>
  <c r="Z114" i="1"/>
  <c r="AF114" i="1" s="1"/>
  <c r="AA114" i="1"/>
  <c r="S115" i="1"/>
  <c r="T115" i="1"/>
  <c r="U115" i="1"/>
  <c r="V115" i="1"/>
  <c r="W115" i="1"/>
  <c r="AB115" i="1" s="1"/>
  <c r="X115" i="1"/>
  <c r="Y115" i="1"/>
  <c r="Z115" i="1"/>
  <c r="S116" i="1"/>
  <c r="T116" i="1"/>
  <c r="U116" i="1"/>
  <c r="V116" i="1"/>
  <c r="W116" i="1"/>
  <c r="AB116" i="1" s="1"/>
  <c r="X116" i="1"/>
  <c r="Y116" i="1"/>
  <c r="Z116" i="1"/>
  <c r="AF116" i="1" s="1"/>
  <c r="S117" i="1"/>
  <c r="T117" i="1"/>
  <c r="U117" i="1"/>
  <c r="V117" i="1"/>
  <c r="W117" i="1"/>
  <c r="AB117" i="1" s="1"/>
  <c r="X117" i="1"/>
  <c r="Y117" i="1"/>
  <c r="Z117" i="1"/>
  <c r="AA117" i="1"/>
  <c r="S118" i="1"/>
  <c r="T118" i="1"/>
  <c r="U118" i="1"/>
  <c r="V118" i="1"/>
  <c r="W118" i="1"/>
  <c r="AB118" i="1" s="1"/>
  <c r="X118" i="1"/>
  <c r="Y118" i="1"/>
  <c r="Z118" i="1"/>
  <c r="AF118" i="1" s="1"/>
  <c r="AA118" i="1"/>
  <c r="S119" i="1"/>
  <c r="T119" i="1"/>
  <c r="U119" i="1"/>
  <c r="V119" i="1"/>
  <c r="W119" i="1"/>
  <c r="AB119" i="1" s="1"/>
  <c r="X119" i="1"/>
  <c r="Y119" i="1"/>
  <c r="Z119" i="1"/>
  <c r="AA119" i="1"/>
  <c r="S120" i="1"/>
  <c r="T120" i="1"/>
  <c r="U120" i="1"/>
  <c r="V120" i="1"/>
  <c r="W120" i="1"/>
  <c r="AB120" i="1" s="1"/>
  <c r="X120" i="1"/>
  <c r="Y120" i="1"/>
  <c r="Z120" i="1"/>
  <c r="AF120" i="1" s="1"/>
  <c r="AA120" i="1"/>
  <c r="S121" i="1"/>
  <c r="T121" i="1"/>
  <c r="U121" i="1"/>
  <c r="V121" i="1"/>
  <c r="W121" i="1"/>
  <c r="AB121" i="1" s="1"/>
  <c r="X121" i="1"/>
  <c r="Y121" i="1"/>
  <c r="Z121" i="1"/>
  <c r="AA121" i="1"/>
  <c r="S122" i="1"/>
  <c r="T122" i="1"/>
  <c r="U122" i="1"/>
  <c r="V122" i="1"/>
  <c r="W122" i="1"/>
  <c r="AB122" i="1" s="1"/>
  <c r="X122" i="1"/>
  <c r="Y122" i="1"/>
  <c r="Z122" i="1"/>
  <c r="AF122" i="1" s="1"/>
  <c r="AA122" i="1"/>
  <c r="S123" i="1"/>
  <c r="T123" i="1"/>
  <c r="U123" i="1"/>
  <c r="V123" i="1"/>
  <c r="W123" i="1"/>
  <c r="AB123" i="1" s="1"/>
  <c r="X123" i="1"/>
  <c r="Y123" i="1"/>
  <c r="Z123" i="1"/>
  <c r="AA123" i="1"/>
  <c r="S124" i="1"/>
  <c r="T124" i="1"/>
  <c r="U124" i="1"/>
  <c r="V124" i="1"/>
  <c r="W124" i="1"/>
  <c r="AB124" i="1" s="1"/>
  <c r="X124" i="1"/>
  <c r="Y124" i="1"/>
  <c r="Z124" i="1"/>
  <c r="AF124" i="1" s="1"/>
  <c r="AA124" i="1"/>
  <c r="S125" i="1"/>
  <c r="T125" i="1"/>
  <c r="U125" i="1"/>
  <c r="V125" i="1"/>
  <c r="W125" i="1"/>
  <c r="AB125" i="1" s="1"/>
  <c r="X125" i="1"/>
  <c r="Y125" i="1"/>
  <c r="Z125" i="1"/>
  <c r="AA125" i="1"/>
  <c r="S126" i="1"/>
  <c r="T126" i="1"/>
  <c r="U126" i="1"/>
  <c r="V126" i="1"/>
  <c r="W126" i="1"/>
  <c r="AB126" i="1" s="1"/>
  <c r="X126" i="1"/>
  <c r="Y126" i="1"/>
  <c r="Z126" i="1"/>
  <c r="AF126" i="1" s="1"/>
  <c r="AA126" i="1"/>
  <c r="S127" i="1"/>
  <c r="T127" i="1"/>
  <c r="U127" i="1"/>
  <c r="V127" i="1"/>
  <c r="W127" i="1"/>
  <c r="AB127" i="1" s="1"/>
  <c r="X127" i="1"/>
  <c r="Y127" i="1"/>
  <c r="Z127" i="1"/>
  <c r="AA127" i="1"/>
  <c r="S128" i="1"/>
  <c r="T128" i="1"/>
  <c r="U128" i="1"/>
  <c r="V128" i="1"/>
  <c r="W128" i="1"/>
  <c r="AB128" i="1" s="1"/>
  <c r="X128" i="1"/>
  <c r="Y128" i="1"/>
  <c r="Z128" i="1"/>
  <c r="AF128" i="1" s="1"/>
  <c r="AA128" i="1"/>
  <c r="S129" i="1"/>
  <c r="T129" i="1"/>
  <c r="U129" i="1"/>
  <c r="V129" i="1"/>
  <c r="W129" i="1"/>
  <c r="AB129" i="1" s="1"/>
  <c r="X129" i="1"/>
  <c r="Y129" i="1"/>
  <c r="Z129" i="1"/>
  <c r="AA129" i="1"/>
  <c r="S130" i="1"/>
  <c r="T130" i="1"/>
  <c r="U130" i="1"/>
  <c r="V130" i="1"/>
  <c r="W130" i="1"/>
  <c r="AB130" i="1" s="1"/>
  <c r="X130" i="1"/>
  <c r="Y130" i="1"/>
  <c r="Z130" i="1"/>
  <c r="AF130" i="1" s="1"/>
  <c r="AA130" i="1"/>
  <c r="S131" i="1"/>
  <c r="T131" i="1"/>
  <c r="U131" i="1"/>
  <c r="V131" i="1"/>
  <c r="W131" i="1"/>
  <c r="AB131" i="1" s="1"/>
  <c r="X131" i="1"/>
  <c r="Y131" i="1"/>
  <c r="Z131" i="1"/>
  <c r="AA131" i="1"/>
  <c r="S132" i="1"/>
  <c r="T132" i="1"/>
  <c r="U132" i="1"/>
  <c r="V132" i="1"/>
  <c r="W132" i="1"/>
  <c r="AB132" i="1" s="1"/>
  <c r="X132" i="1"/>
  <c r="Y132" i="1"/>
  <c r="Z132" i="1"/>
  <c r="AF132" i="1" s="1"/>
  <c r="AA132" i="1"/>
  <c r="S133" i="1"/>
  <c r="T133" i="1"/>
  <c r="U133" i="1"/>
  <c r="V133" i="1"/>
  <c r="W133" i="1"/>
  <c r="AB133" i="1" s="1"/>
  <c r="X133" i="1"/>
  <c r="Y133" i="1"/>
  <c r="Z133" i="1"/>
  <c r="AA133" i="1"/>
  <c r="S134" i="1"/>
  <c r="T134" i="1"/>
  <c r="U134" i="1"/>
  <c r="V134" i="1"/>
  <c r="W134" i="1"/>
  <c r="AB134" i="1" s="1"/>
  <c r="X134" i="1"/>
  <c r="Y134" i="1"/>
  <c r="Z134" i="1"/>
  <c r="AF134" i="1" s="1"/>
  <c r="AA134" i="1"/>
  <c r="S135" i="1"/>
  <c r="T135" i="1"/>
  <c r="U135" i="1"/>
  <c r="V135" i="1"/>
  <c r="W135" i="1"/>
  <c r="AB135" i="1" s="1"/>
  <c r="X135" i="1"/>
  <c r="Y135" i="1"/>
  <c r="Z135" i="1"/>
  <c r="AA135" i="1"/>
  <c r="S136" i="1"/>
  <c r="T136" i="1"/>
  <c r="U136" i="1"/>
  <c r="V136" i="1"/>
  <c r="W136" i="1"/>
  <c r="AB136" i="1" s="1"/>
  <c r="X136" i="1"/>
  <c r="Y136" i="1"/>
  <c r="Z136" i="1"/>
  <c r="AF136" i="1" s="1"/>
  <c r="AA136" i="1"/>
  <c r="Z9" i="1"/>
  <c r="AF9" i="1" s="1"/>
  <c r="Y9" i="1"/>
  <c r="X9" i="1"/>
  <c r="W9" i="1"/>
  <c r="AB9" i="1" s="1"/>
  <c r="V9" i="1"/>
  <c r="U9" i="1"/>
  <c r="T9" i="1"/>
  <c r="S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3" i="1"/>
  <c r="Q144" i="1"/>
  <c r="Q9" i="1"/>
  <c r="M97" i="1"/>
  <c r="M89" i="1"/>
  <c r="H10" i="16"/>
  <c r="H11" i="16"/>
  <c r="H13" i="16"/>
  <c r="H14" i="16"/>
  <c r="H15" i="16"/>
  <c r="H16" i="16"/>
  <c r="H17" i="16"/>
  <c r="H18" i="16"/>
  <c r="H19" i="16"/>
  <c r="H20" i="16"/>
  <c r="H21" i="16"/>
  <c r="H22" i="16"/>
  <c r="H8" i="16"/>
  <c r="H7" i="16"/>
  <c r="N17" i="15"/>
  <c r="N18" i="15"/>
  <c r="N19" i="15"/>
  <c r="M17" i="15"/>
  <c r="M18" i="15"/>
  <c r="M19" i="15"/>
  <c r="J14" i="15"/>
  <c r="J13" i="15"/>
  <c r="K12" i="15"/>
  <c r="K11" i="15"/>
  <c r="K10" i="15"/>
  <c r="K9" i="15"/>
  <c r="H15" i="13"/>
  <c r="H14" i="13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4" i="1"/>
  <c r="M35" i="1"/>
  <c r="M36" i="1"/>
  <c r="M37" i="1"/>
  <c r="M38" i="1"/>
  <c r="M39" i="1"/>
  <c r="M40" i="1"/>
  <c r="M41" i="1"/>
  <c r="M42" i="1"/>
  <c r="M43" i="1"/>
  <c r="M44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71" i="1"/>
  <c r="M72" i="1"/>
  <c r="M73" i="1"/>
  <c r="M74" i="1"/>
  <c r="M75" i="1"/>
  <c r="M76" i="1"/>
  <c r="M77" i="1"/>
  <c r="M78" i="1"/>
  <c r="M79" i="1"/>
  <c r="M80" i="1"/>
  <c r="M81" i="1"/>
  <c r="M82" i="1"/>
  <c r="M85" i="1"/>
  <c r="M86" i="1"/>
  <c r="M87" i="1"/>
  <c r="M88" i="1"/>
  <c r="M90" i="1"/>
  <c r="M91" i="1"/>
  <c r="M92" i="1"/>
  <c r="M93" i="1"/>
  <c r="M94" i="1"/>
  <c r="M95" i="1"/>
  <c r="M96" i="1"/>
  <c r="M98" i="1"/>
  <c r="M99" i="1"/>
  <c r="M100" i="1"/>
  <c r="M103" i="1"/>
  <c r="M104" i="1"/>
  <c r="M105" i="1"/>
  <c r="M106" i="1"/>
  <c r="M107" i="1"/>
  <c r="M108" i="1"/>
  <c r="M109" i="1"/>
  <c r="M110" i="1"/>
  <c r="M111" i="1"/>
  <c r="M112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31" i="1"/>
  <c r="M132" i="1"/>
  <c r="M133" i="1"/>
  <c r="M134" i="1"/>
  <c r="M135" i="1"/>
  <c r="M136" i="1"/>
  <c r="AM137" i="1"/>
  <c r="D9" i="8"/>
  <c r="E9" i="8" a="1"/>
  <c r="E9" i="8" s="1"/>
  <c r="F9" i="8" a="1"/>
  <c r="F9" i="8" s="1"/>
  <c r="G9" i="8" a="1"/>
  <c r="G9" i="8" s="1"/>
  <c r="D10" i="8"/>
  <c r="E10" i="8" a="1"/>
  <c r="E10" i="8" s="1"/>
  <c r="F10" i="8" a="1"/>
  <c r="F10" i="8" s="1"/>
  <c r="G10" i="8" a="1"/>
  <c r="G10" i="8" s="1"/>
  <c r="D11" i="8"/>
  <c r="E11" i="8" a="1"/>
  <c r="E11" i="8" s="1"/>
  <c r="F11" i="8" a="1"/>
  <c r="F11" i="8" s="1"/>
  <c r="G11" i="8" a="1"/>
  <c r="G11" i="8" s="1"/>
  <c r="D12" i="8"/>
  <c r="E12" i="8" a="1"/>
  <c r="E12" i="8" s="1"/>
  <c r="F12" i="8" a="1"/>
  <c r="F12" i="8" s="1"/>
  <c r="G12" i="8" a="1"/>
  <c r="G12" i="8" s="1"/>
  <c r="D13" i="8"/>
  <c r="E13" i="8" a="1"/>
  <c r="E13" i="8" s="1"/>
  <c r="F13" i="8" a="1"/>
  <c r="F13" i="8" s="1"/>
  <c r="G13" i="8" a="1"/>
  <c r="G13" i="8" s="1"/>
  <c r="D14" i="8"/>
  <c r="E14" i="8" a="1"/>
  <c r="E14" i="8" s="1"/>
  <c r="F14" i="8" a="1"/>
  <c r="F14" i="8" s="1"/>
  <c r="G14" i="8" a="1"/>
  <c r="G14" i="8" s="1"/>
  <c r="D15" i="8"/>
  <c r="E15" i="8" a="1"/>
  <c r="E15" i="8" s="1"/>
  <c r="F15" i="8" a="1"/>
  <c r="F15" i="8" s="1"/>
  <c r="G15" i="8" a="1"/>
  <c r="G15" i="8" s="1"/>
  <c r="D16" i="8"/>
  <c r="E16" i="8" a="1"/>
  <c r="E16" i="8" s="1"/>
  <c r="F16" i="8" a="1"/>
  <c r="F16" i="8" s="1"/>
  <c r="G16" i="8" a="1"/>
  <c r="G16" i="8" s="1"/>
  <c r="D17" i="8"/>
  <c r="E17" i="8" a="1"/>
  <c r="E17" i="8" s="1"/>
  <c r="F17" i="8" a="1"/>
  <c r="F17" i="8" s="1"/>
  <c r="G17" i="8" a="1"/>
  <c r="G17" i="8" s="1"/>
  <c r="D18" i="8"/>
  <c r="E18" i="8" a="1"/>
  <c r="E18" i="8" s="1"/>
  <c r="F18" i="8" a="1"/>
  <c r="F18" i="8" s="1"/>
  <c r="G18" i="8" a="1"/>
  <c r="G18" i="8" s="1"/>
  <c r="G8" i="8" a="1"/>
  <c r="G8" i="8" s="1"/>
  <c r="F8" i="8" a="1"/>
  <c r="F8" i="8" s="1"/>
  <c r="E8" i="8" a="1"/>
  <c r="E8" i="8" s="1"/>
  <c r="D8" i="8"/>
  <c r="G9" i="9" a="1"/>
  <c r="G9" i="9" s="1"/>
  <c r="G10" i="9" a="1"/>
  <c r="G10" i="9" s="1"/>
  <c r="G11" i="9" a="1"/>
  <c r="G11" i="9" s="1"/>
  <c r="G12" i="9" a="1"/>
  <c r="G12" i="9" s="1"/>
  <c r="G13" i="9" a="1"/>
  <c r="G13" i="9" s="1"/>
  <c r="G14" i="9" a="1"/>
  <c r="G14" i="9" s="1"/>
  <c r="G15" i="9" a="1"/>
  <c r="G15" i="9" s="1"/>
  <c r="G16" i="9" a="1"/>
  <c r="G16" i="9" s="1"/>
  <c r="G17" i="9" a="1"/>
  <c r="G17" i="9" s="1"/>
  <c r="G18" i="9" a="1"/>
  <c r="G18" i="9" s="1"/>
  <c r="G19" i="9" a="1"/>
  <c r="G19" i="9" s="1"/>
  <c r="G20" i="9" a="1"/>
  <c r="G20" i="9" s="1"/>
  <c r="G21" i="9" a="1"/>
  <c r="G21" i="9" s="1"/>
  <c r="G22" i="9" a="1"/>
  <c r="G22" i="9" s="1"/>
  <c r="G23" i="9" a="1"/>
  <c r="G23" i="9" s="1"/>
  <c r="G8" i="9" a="1"/>
  <c r="G8" i="9" s="1"/>
  <c r="F9" i="9" a="1"/>
  <c r="F9" i="9" s="1"/>
  <c r="F10" i="9" a="1"/>
  <c r="F10" i="9" s="1"/>
  <c r="F11" i="9" a="1"/>
  <c r="F11" i="9" s="1"/>
  <c r="F12" i="9" a="1"/>
  <c r="F12" i="9" s="1"/>
  <c r="F13" i="9" a="1"/>
  <c r="F13" i="9" s="1"/>
  <c r="F14" i="9" a="1"/>
  <c r="F14" i="9" s="1"/>
  <c r="F15" i="9" a="1"/>
  <c r="F15" i="9" s="1"/>
  <c r="F16" i="9" a="1"/>
  <c r="F16" i="9" s="1"/>
  <c r="F17" i="9" a="1"/>
  <c r="F17" i="9" s="1"/>
  <c r="F18" i="9" a="1"/>
  <c r="F18" i="9" s="1"/>
  <c r="F19" i="9" a="1"/>
  <c r="F19" i="9" s="1"/>
  <c r="F20" i="9" a="1"/>
  <c r="F20" i="9" s="1"/>
  <c r="F21" i="9" a="1"/>
  <c r="F21" i="9" s="1"/>
  <c r="F22" i="9" a="1"/>
  <c r="F22" i="9" s="1"/>
  <c r="F23" i="9" a="1"/>
  <c r="F23" i="9" s="1"/>
  <c r="F8" i="9" a="1"/>
  <c r="F8" i="9" s="1"/>
  <c r="E9" i="9" a="1"/>
  <c r="E9" i="9" s="1"/>
  <c r="E10" i="9" a="1"/>
  <c r="E10" i="9" s="1"/>
  <c r="E11" i="9" a="1"/>
  <c r="E11" i="9" s="1"/>
  <c r="E12" i="9" a="1"/>
  <c r="E12" i="9" s="1"/>
  <c r="E13" i="9" a="1"/>
  <c r="E13" i="9" s="1"/>
  <c r="E14" i="9" a="1"/>
  <c r="E14" i="9" s="1"/>
  <c r="E15" i="9" a="1"/>
  <c r="E15" i="9" s="1"/>
  <c r="E16" i="9" a="1"/>
  <c r="E16" i="9" s="1"/>
  <c r="E17" i="9" a="1"/>
  <c r="E17" i="9" s="1"/>
  <c r="E18" i="9" a="1"/>
  <c r="E18" i="9" s="1"/>
  <c r="E19" i="9" a="1"/>
  <c r="E19" i="9" s="1"/>
  <c r="E20" i="9" a="1"/>
  <c r="E20" i="9" s="1"/>
  <c r="E21" i="9" a="1"/>
  <c r="E21" i="9" s="1"/>
  <c r="E22" i="9" a="1"/>
  <c r="E22" i="9" s="1"/>
  <c r="E23" i="9" a="1"/>
  <c r="E23" i="9" s="1"/>
  <c r="E8" i="9" a="1"/>
  <c r="E8" i="9" s="1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8" i="9"/>
  <c r="D12" i="11"/>
  <c r="E12" i="11"/>
  <c r="F12" i="11"/>
  <c r="D13" i="11"/>
  <c r="E13" i="11"/>
  <c r="F13" i="11"/>
  <c r="D14" i="11"/>
  <c r="E14" i="11"/>
  <c r="F14" i="11"/>
  <c r="D15" i="11"/>
  <c r="E15" i="11"/>
  <c r="F15" i="11"/>
  <c r="D16" i="11"/>
  <c r="E16" i="11"/>
  <c r="F16" i="11"/>
  <c r="D17" i="11"/>
  <c r="E17" i="11"/>
  <c r="F17" i="11"/>
  <c r="D18" i="11"/>
  <c r="E18" i="11"/>
  <c r="F18" i="11"/>
  <c r="D19" i="11"/>
  <c r="E19" i="11"/>
  <c r="F19" i="11"/>
  <c r="D20" i="11"/>
  <c r="E20" i="11"/>
  <c r="F20" i="11"/>
  <c r="D21" i="11"/>
  <c r="E21" i="11"/>
  <c r="F21" i="11"/>
  <c r="D22" i="11"/>
  <c r="E22" i="11"/>
  <c r="F22" i="11"/>
  <c r="D23" i="11"/>
  <c r="E23" i="11"/>
  <c r="F23" i="11"/>
  <c r="D24" i="11"/>
  <c r="E24" i="11"/>
  <c r="F24" i="11"/>
  <c r="D25" i="11"/>
  <c r="E25" i="11"/>
  <c r="F25" i="11"/>
  <c r="D26" i="11"/>
  <c r="E26" i="11"/>
  <c r="F26" i="11"/>
  <c r="D27" i="11"/>
  <c r="E27" i="11"/>
  <c r="F27" i="11"/>
  <c r="D28" i="11"/>
  <c r="E28" i="11"/>
  <c r="F28" i="11"/>
  <c r="D29" i="11"/>
  <c r="E29" i="11"/>
  <c r="F29" i="11"/>
  <c r="D30" i="11"/>
  <c r="E30" i="11"/>
  <c r="F30" i="11"/>
  <c r="D31" i="11"/>
  <c r="E31" i="11"/>
  <c r="F31" i="11"/>
  <c r="D32" i="11"/>
  <c r="E32" i="11"/>
  <c r="F32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F239" i="2" a="1"/>
  <c r="F239" i="2" s="1"/>
  <c r="E75" i="4"/>
  <c r="E74" i="4"/>
  <c r="E73" i="4"/>
  <c r="E72" i="4"/>
  <c r="E71" i="4"/>
  <c r="E10" i="4"/>
  <c r="E11" i="4"/>
  <c r="E12" i="4"/>
  <c r="E13" i="4"/>
  <c r="E16" i="4"/>
  <c r="E17" i="4"/>
  <c r="E20" i="4"/>
  <c r="E21" i="4"/>
  <c r="E24" i="4"/>
  <c r="E25" i="4"/>
  <c r="E28" i="4"/>
  <c r="E29" i="4"/>
  <c r="E32" i="4"/>
  <c r="E33" i="4"/>
  <c r="E36" i="4"/>
  <c r="E37" i="4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K7" i="7"/>
  <c r="H8" i="5"/>
  <c r="E77" i="4"/>
  <c r="E9" i="4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10" i="3"/>
  <c r="I9" i="3"/>
  <c r="I8" i="3"/>
  <c r="I7" i="3"/>
  <c r="F7" i="2"/>
  <c r="F227" i="2"/>
  <c r="F238" i="2"/>
  <c r="F231" i="2" a="1"/>
  <c r="F231" i="2" s="1"/>
  <c r="F232" i="2" a="1"/>
  <c r="F232" i="2" s="1"/>
  <c r="F233" i="2" a="1"/>
  <c r="F233" i="2" s="1"/>
  <c r="F234" i="2" a="1"/>
  <c r="F234" i="2" s="1"/>
  <c r="F240" i="2" a="1"/>
  <c r="F240" i="2" s="1"/>
  <c r="F241" i="2" a="1"/>
  <c r="F241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09" i="2" a="1"/>
  <c r="F109" i="2" s="1"/>
  <c r="F110" i="2" a="1"/>
  <c r="F110" i="2" s="1"/>
  <c r="F111" i="2" a="1"/>
  <c r="F111" i="2" s="1"/>
  <c r="F112" i="2" a="1"/>
  <c r="F112" i="2" s="1"/>
  <c r="F113" i="2" a="1"/>
  <c r="F113" i="2" s="1"/>
  <c r="F114" i="2" a="1"/>
  <c r="F114" i="2" s="1"/>
  <c r="F115" i="2" a="1"/>
  <c r="F115" i="2" s="1"/>
  <c r="F116" i="2" a="1"/>
  <c r="F116" i="2" s="1"/>
  <c r="F117" i="2" a="1"/>
  <c r="F117" i="2" s="1"/>
  <c r="F118" i="2" a="1"/>
  <c r="F118" i="2" s="1"/>
  <c r="F119" i="2" a="1"/>
  <c r="F119" i="2" s="1"/>
  <c r="F120" i="2" a="1"/>
  <c r="F120" i="2" s="1"/>
  <c r="F121" i="2" a="1"/>
  <c r="F121" i="2" s="1"/>
  <c r="F122" i="2" a="1"/>
  <c r="F122" i="2" s="1"/>
  <c r="F123" i="2" a="1"/>
  <c r="F123" i="2" s="1"/>
  <c r="F124" i="2" a="1"/>
  <c r="F124" i="2" s="1"/>
  <c r="F125" i="2" a="1"/>
  <c r="F125" i="2" s="1"/>
  <c r="F126" i="2" a="1"/>
  <c r="F126" i="2" s="1"/>
  <c r="F127" i="2" a="1"/>
  <c r="F127" i="2" s="1"/>
  <c r="F128" i="2" a="1"/>
  <c r="F128" i="2" s="1"/>
  <c r="F129" i="2" a="1"/>
  <c r="F129" i="2" s="1"/>
  <c r="F130" i="2" a="1"/>
  <c r="F130" i="2" s="1"/>
  <c r="F131" i="2" a="1"/>
  <c r="F131" i="2" s="1"/>
  <c r="F157" i="2" a="1"/>
  <c r="F157" i="2" s="1"/>
  <c r="F158" i="2" a="1"/>
  <c r="F158" i="2" s="1"/>
  <c r="F159" i="2" a="1"/>
  <c r="F159" i="2" s="1"/>
  <c r="F160" i="2" a="1"/>
  <c r="F160" i="2" s="1"/>
  <c r="F161" i="2" a="1"/>
  <c r="F161" i="2" s="1"/>
  <c r="F162" i="2" a="1"/>
  <c r="F162" i="2" s="1"/>
  <c r="F163" i="2" a="1"/>
  <c r="F163" i="2" s="1"/>
  <c r="F164" i="2" a="1"/>
  <c r="F164" i="2" s="1"/>
  <c r="F165" i="2" a="1"/>
  <c r="F165" i="2" s="1"/>
  <c r="F166" i="2" a="1"/>
  <c r="F166" i="2" s="1"/>
  <c r="F167" i="2" a="1"/>
  <c r="F167" i="2" s="1"/>
  <c r="F168" i="2" a="1"/>
  <c r="F168" i="2" s="1"/>
  <c r="F169" i="2" a="1"/>
  <c r="F169" i="2" s="1"/>
  <c r="F170" i="2" a="1"/>
  <c r="F170" i="2" s="1"/>
  <c r="F171" i="2" a="1"/>
  <c r="F171" i="2" s="1"/>
  <c r="F172" i="2" a="1"/>
  <c r="F172" i="2" s="1"/>
  <c r="F173" i="2" a="1"/>
  <c r="F173" i="2" s="1"/>
  <c r="F174" i="2" a="1"/>
  <c r="F174" i="2" s="1"/>
  <c r="F175" i="2" a="1"/>
  <c r="F175" i="2" s="1"/>
  <c r="F176" i="2" a="1"/>
  <c r="F176" i="2" s="1"/>
  <c r="F177" i="2" a="1"/>
  <c r="F177" i="2" s="1"/>
  <c r="F178" i="2" a="1"/>
  <c r="F178" i="2" s="1"/>
  <c r="F179" i="2" a="1"/>
  <c r="F179" i="2" s="1"/>
  <c r="F180" i="2" a="1"/>
  <c r="F180" i="2" s="1"/>
  <c r="F181" i="2" a="1"/>
  <c r="F181" i="2" s="1"/>
  <c r="F182" i="2" a="1"/>
  <c r="F182" i="2" s="1"/>
  <c r="F183" i="2" a="1"/>
  <c r="F183" i="2" s="1"/>
  <c r="F184" i="2" a="1"/>
  <c r="F184" i="2" s="1"/>
  <c r="F185" i="2" a="1"/>
  <c r="F185" i="2" s="1"/>
  <c r="F186" i="2" a="1"/>
  <c r="F186" i="2" s="1"/>
  <c r="F187" i="2" a="1"/>
  <c r="F187" i="2" s="1"/>
  <c r="F188" i="2" a="1"/>
  <c r="F188" i="2" s="1"/>
  <c r="F189" i="2" a="1"/>
  <c r="F189" i="2" s="1"/>
  <c r="F190" i="2" a="1"/>
  <c r="F190" i="2" s="1"/>
  <c r="F191" i="2" a="1"/>
  <c r="F191" i="2" s="1"/>
  <c r="F192" i="2" a="1"/>
  <c r="F192" i="2" s="1"/>
  <c r="F193" i="2" a="1"/>
  <c r="F193" i="2" s="1"/>
  <c r="F194" i="2" a="1"/>
  <c r="F194" i="2" s="1"/>
  <c r="F195" i="2" a="1"/>
  <c r="F195" i="2" s="1"/>
  <c r="F196" i="2" a="1"/>
  <c r="F196" i="2" s="1"/>
  <c r="F197" i="2" a="1"/>
  <c r="F197" i="2" s="1"/>
  <c r="F198" i="2" a="1"/>
  <c r="F198" i="2" s="1"/>
  <c r="F199" i="2" a="1"/>
  <c r="F199" i="2" s="1"/>
  <c r="F200" i="2" a="1"/>
  <c r="F200" i="2" s="1"/>
  <c r="F201" i="2" a="1"/>
  <c r="F201" i="2" s="1"/>
  <c r="F202" i="2" a="1"/>
  <c r="F202" i="2" s="1"/>
  <c r="F203" i="2" a="1"/>
  <c r="F203" i="2" s="1"/>
  <c r="F204" i="2" a="1"/>
  <c r="F204" i="2" s="1"/>
  <c r="F205" i="2" a="1"/>
  <c r="F205" i="2" s="1"/>
  <c r="F206" i="2" a="1"/>
  <c r="F206" i="2" s="1"/>
  <c r="F207" i="2" a="1"/>
  <c r="F207" i="2" s="1"/>
  <c r="F208" i="2" a="1"/>
  <c r="F208" i="2" s="1"/>
  <c r="F209" i="2" a="1"/>
  <c r="F209" i="2" s="1"/>
  <c r="F210" i="2" a="1"/>
  <c r="F210" i="2" s="1"/>
  <c r="F211" i="2" a="1"/>
  <c r="F211" i="2" s="1"/>
  <c r="F212" i="2" a="1"/>
  <c r="F212" i="2" s="1"/>
  <c r="F213" i="2" a="1"/>
  <c r="F213" i="2" s="1"/>
  <c r="F214" i="2" a="1"/>
  <c r="F214" i="2" s="1"/>
  <c r="F215" i="2" a="1"/>
  <c r="F215" i="2" s="1"/>
  <c r="F216" i="2" a="1"/>
  <c r="F216" i="2" s="1"/>
  <c r="F217" i="2" a="1"/>
  <c r="F217" i="2" s="1"/>
  <c r="F218" i="2" a="1"/>
  <c r="F218" i="2" s="1"/>
  <c r="F219" i="2" a="1"/>
  <c r="F219" i="2" s="1"/>
  <c r="F220" i="2" a="1"/>
  <c r="F220" i="2" s="1"/>
  <c r="F221" i="2" a="1"/>
  <c r="F221" i="2" s="1"/>
  <c r="F222" i="2" a="1"/>
  <c r="F222" i="2" s="1"/>
  <c r="F223" i="2" a="1"/>
  <c r="F223" i="2" s="1"/>
  <c r="F8" i="2" a="1"/>
  <c r="F8" i="2" s="1"/>
  <c r="L18" i="8"/>
  <c r="C21" i="12"/>
  <c r="E21" i="12" s="1"/>
  <c r="L14" i="8" s="1"/>
  <c r="E22" i="12"/>
  <c r="F24" i="7" s="1"/>
  <c r="E20" i="12"/>
  <c r="K18" i="8" s="1"/>
  <c r="AD138" i="1" l="1"/>
  <c r="AH138" i="1"/>
  <c r="AH114" i="1"/>
  <c r="AD114" i="1"/>
  <c r="I98" i="17" a="1"/>
  <c r="I98" i="17" s="1"/>
  <c r="I107" i="17" a="1"/>
  <c r="I107" i="17" s="1"/>
  <c r="C8" i="13"/>
  <c r="B8" i="13"/>
  <c r="D24" i="7"/>
  <c r="L11" i="8"/>
  <c r="J10" i="8"/>
  <c r="J15" i="8"/>
  <c r="K15" i="8"/>
  <c r="L8" i="8"/>
  <c r="J11" i="8"/>
  <c r="J14" i="8"/>
  <c r="K17" i="8"/>
  <c r="J8" i="8"/>
  <c r="K11" i="8"/>
  <c r="J9" i="8"/>
  <c r="K12" i="8"/>
  <c r="K10" i="8"/>
  <c r="K14" i="8"/>
  <c r="J18" i="8"/>
  <c r="K29" i="7" a="1"/>
  <c r="K29" i="7" s="1"/>
  <c r="G24" i="7"/>
  <c r="L12" i="8"/>
  <c r="L17" i="8"/>
  <c r="L9" i="8"/>
  <c r="L15" i="8"/>
  <c r="E24" i="7"/>
  <c r="K8" i="8"/>
  <c r="J12" i="8"/>
  <c r="L10" i="8"/>
  <c r="K9" i="8"/>
  <c r="J17" i="8"/>
  <c r="I106" i="17" a="1"/>
  <c r="I106" i="17" s="1"/>
  <c r="I92" i="17" a="1"/>
  <c r="I92" i="17" s="1"/>
  <c r="I87" i="17" a="1"/>
  <c r="I87" i="17" s="1"/>
  <c r="I74" i="17" a="1"/>
  <c r="I74" i="17" s="1"/>
  <c r="I60" i="17" a="1"/>
  <c r="I60" i="17" s="1"/>
  <c r="I45" i="17" a="1"/>
  <c r="I45" i="17" s="1"/>
  <c r="I33" i="17" a="1"/>
  <c r="I33" i="17" s="1"/>
  <c r="I24" i="17" a="1"/>
  <c r="I24" i="17" s="1"/>
  <c r="I18" i="17" a="1"/>
  <c r="I18" i="17" s="1"/>
  <c r="I86" i="17" a="1"/>
  <c r="I86" i="17" s="1"/>
  <c r="I105" i="17" a="1"/>
  <c r="I105" i="17" s="1"/>
  <c r="I95" i="17" a="1"/>
  <c r="I95" i="17" s="1"/>
  <c r="I91" i="17" a="1"/>
  <c r="I91" i="17" s="1"/>
  <c r="I85" i="17" a="1"/>
  <c r="I85" i="17" s="1"/>
  <c r="I77" i="17" a="1"/>
  <c r="I77" i="17" s="1"/>
  <c r="I73" i="17" a="1"/>
  <c r="I73" i="17" s="1"/>
  <c r="I65" i="17" a="1"/>
  <c r="I65" i="17" s="1"/>
  <c r="I59" i="17" a="1"/>
  <c r="I59" i="17" s="1"/>
  <c r="I50" i="17" a="1"/>
  <c r="I50" i="17" s="1"/>
  <c r="I44" i="17" a="1"/>
  <c r="I44" i="17" s="1"/>
  <c r="I32" i="17" a="1"/>
  <c r="I32" i="17" s="1"/>
  <c r="I23" i="17" a="1"/>
  <c r="I23" i="17" s="1"/>
  <c r="I94" i="17" a="1"/>
  <c r="I94" i="17" s="1"/>
  <c r="I90" i="17" a="1"/>
  <c r="I90" i="17" s="1"/>
  <c r="I84" i="17" a="1"/>
  <c r="I84" i="17" s="1"/>
  <c r="I76" i="17" a="1"/>
  <c r="I76" i="17" s="1"/>
  <c r="I58" i="17" a="1"/>
  <c r="I58" i="17" s="1"/>
  <c r="I47" i="17" a="1"/>
  <c r="I47" i="17" s="1"/>
  <c r="I35" i="17" a="1"/>
  <c r="I35" i="17" s="1"/>
  <c r="I26" i="17" a="1"/>
  <c r="I26" i="17" s="1"/>
  <c r="I22" i="17" a="1"/>
  <c r="I22" i="17" s="1"/>
  <c r="I15" i="17" a="1"/>
  <c r="I15" i="17" s="1"/>
  <c r="I93" i="17" a="1"/>
  <c r="I93" i="17" s="1"/>
  <c r="I88" i="17" a="1"/>
  <c r="I88" i="17" s="1"/>
  <c r="I75" i="17" a="1"/>
  <c r="I75" i="17" s="1"/>
  <c r="I68" i="17" a="1"/>
  <c r="I68" i="17" s="1"/>
  <c r="I62" i="17" a="1"/>
  <c r="I62" i="17" s="1"/>
  <c r="I57" i="17" a="1"/>
  <c r="I57" i="17" s="1"/>
  <c r="I46" i="17" a="1"/>
  <c r="I46" i="17" s="1"/>
  <c r="I34" i="17" a="1"/>
  <c r="I34" i="17" s="1"/>
  <c r="I25" i="17" a="1"/>
  <c r="I25" i="17" s="1"/>
  <c r="I21" i="17" a="1"/>
  <c r="I21" i="17" s="1"/>
  <c r="I12" i="17" a="1"/>
  <c r="I12" i="17" s="1"/>
  <c r="F16" i="4"/>
  <c r="B16" i="13"/>
  <c r="B33" i="13"/>
  <c r="C22" i="13"/>
  <c r="G19" i="11"/>
  <c r="K31" i="11"/>
  <c r="I30" i="11"/>
  <c r="M20" i="11"/>
  <c r="K19" i="11"/>
  <c r="I18" i="11"/>
  <c r="M16" i="11"/>
  <c r="I14" i="11"/>
  <c r="M9" i="11"/>
  <c r="G8" i="11"/>
  <c r="H8" i="11"/>
  <c r="B9" i="13"/>
  <c r="C9" i="13"/>
  <c r="G28" i="11"/>
  <c r="G20" i="11"/>
  <c r="G16" i="11"/>
  <c r="M31" i="11"/>
  <c r="K30" i="11"/>
  <c r="M27" i="11"/>
  <c r="M23" i="11"/>
  <c r="M19" i="11"/>
  <c r="K18" i="11"/>
  <c r="B30" i="13"/>
  <c r="L10" i="11"/>
  <c r="F9" i="4"/>
  <c r="C27" i="13"/>
  <c r="C14" i="13"/>
  <c r="C31" i="13"/>
  <c r="I11" i="11"/>
  <c r="F29" i="4"/>
  <c r="B12" i="13"/>
  <c r="B23" i="13"/>
  <c r="F24" i="4"/>
  <c r="B26" i="13"/>
  <c r="B17" i="13"/>
  <c r="B14" i="13"/>
  <c r="B31" i="13"/>
  <c r="G10" i="11"/>
  <c r="H10" i="11"/>
  <c r="I9" i="11"/>
  <c r="K8" i="11"/>
  <c r="F37" i="4"/>
  <c r="F23" i="4"/>
  <c r="C12" i="13"/>
  <c r="B25" i="13"/>
  <c r="C16" i="13"/>
  <c r="C33" i="13"/>
  <c r="K11" i="11"/>
  <c r="M10" i="11"/>
  <c r="G9" i="11"/>
  <c r="H9" i="11"/>
  <c r="J8" i="11"/>
  <c r="F32" i="4"/>
  <c r="F17" i="4"/>
  <c r="F35" i="4"/>
  <c r="F28" i="4"/>
  <c r="F21" i="4"/>
  <c r="F12" i="4"/>
  <c r="F33" i="4"/>
  <c r="F27" i="4"/>
  <c r="F19" i="4"/>
  <c r="F11" i="4"/>
  <c r="B11" i="13"/>
  <c r="C10" i="13"/>
  <c r="C25" i="13"/>
  <c r="B22" i="13"/>
  <c r="B15" i="13"/>
  <c r="G25" i="11"/>
  <c r="G17" i="11"/>
  <c r="G13" i="11"/>
  <c r="I28" i="11"/>
  <c r="M18" i="11"/>
  <c r="K17" i="11"/>
  <c r="J16" i="11"/>
  <c r="K13" i="11"/>
  <c r="C30" i="13"/>
  <c r="G11" i="11"/>
  <c r="H11" i="11"/>
  <c r="F36" i="4"/>
  <c r="F31" i="4"/>
  <c r="F25" i="4"/>
  <c r="F20" i="4"/>
  <c r="F15" i="4"/>
  <c r="B10" i="13"/>
  <c r="C11" i="13"/>
  <c r="B27" i="13"/>
  <c r="C23" i="13"/>
  <c r="C17" i="13"/>
  <c r="C15" i="13"/>
  <c r="G30" i="11"/>
  <c r="G14" i="11"/>
  <c r="K32" i="11"/>
  <c r="I31" i="11"/>
  <c r="M29" i="11"/>
  <c r="K28" i="11"/>
  <c r="I27" i="11"/>
  <c r="I19" i="11"/>
  <c r="M17" i="11"/>
  <c r="B32" i="13"/>
  <c r="C32" i="13"/>
  <c r="I10" i="11"/>
  <c r="J10" i="11"/>
  <c r="K9" i="11"/>
  <c r="M8" i="11"/>
  <c r="B19" i="13"/>
  <c r="F38" i="4"/>
  <c r="F34" i="4"/>
  <c r="F30" i="4"/>
  <c r="F26" i="4"/>
  <c r="F22" i="4"/>
  <c r="F18" i="4"/>
  <c r="F14" i="4"/>
  <c r="AI35" i="1" a="1"/>
  <c r="AI35" i="1" s="1"/>
  <c r="AB93" i="1"/>
  <c r="AE93" i="1"/>
  <c r="AB66" i="1"/>
  <c r="AC66" i="1"/>
  <c r="AG66" i="1"/>
  <c r="AB62" i="1"/>
  <c r="AC62" i="1"/>
  <c r="AG62" i="1"/>
  <c r="AE62" i="1"/>
  <c r="AH62" i="1"/>
  <c r="AB58" i="1"/>
  <c r="AC58" i="1"/>
  <c r="AG58" i="1"/>
  <c r="AE58" i="1"/>
  <c r="AH58" i="1"/>
  <c r="AB46" i="1"/>
  <c r="AC46" i="1"/>
  <c r="AG46" i="1"/>
  <c r="AE46" i="1"/>
  <c r="AH46" i="1"/>
  <c r="AB34" i="1"/>
  <c r="AD34" i="1"/>
  <c r="AH34" i="1"/>
  <c r="AG34" i="1"/>
  <c r="AE34" i="1"/>
  <c r="AB30" i="1"/>
  <c r="AD30" i="1"/>
  <c r="AH30" i="1"/>
  <c r="AE30" i="1"/>
  <c r="AG30" i="1"/>
  <c r="AB22" i="1"/>
  <c r="AD22" i="1"/>
  <c r="AH22" i="1"/>
  <c r="AE22" i="1"/>
  <c r="AG22" i="1"/>
  <c r="AB14" i="1"/>
  <c r="AD14" i="1"/>
  <c r="AH14" i="1"/>
  <c r="AE14" i="1"/>
  <c r="AI14" i="1" s="1" a="1"/>
  <c r="AI14" i="1" s="1"/>
  <c r="AG14" i="1"/>
  <c r="AG93" i="1"/>
  <c r="AD89" i="1"/>
  <c r="AI72" i="1" a="1"/>
  <c r="AI72" i="1" s="1"/>
  <c r="AD66" i="1"/>
  <c r="AD58" i="1"/>
  <c r="AB92" i="1"/>
  <c r="AC92" i="1"/>
  <c r="AG92" i="1"/>
  <c r="AB88" i="1"/>
  <c r="AI88" i="1" s="1" a="1"/>
  <c r="AI88" i="1" s="1"/>
  <c r="AC88" i="1"/>
  <c r="AG88" i="1"/>
  <c r="AB87" i="1"/>
  <c r="AE87" i="1"/>
  <c r="AB86" i="1"/>
  <c r="AC86" i="1"/>
  <c r="AG86" i="1"/>
  <c r="AB85" i="1"/>
  <c r="AE85" i="1"/>
  <c r="AB81" i="1"/>
  <c r="AE81" i="1"/>
  <c r="AB77" i="1"/>
  <c r="AE77" i="1"/>
  <c r="AB73" i="1"/>
  <c r="AE73" i="1"/>
  <c r="AB69" i="1"/>
  <c r="AE69" i="1"/>
  <c r="AB65" i="1"/>
  <c r="AC65" i="1"/>
  <c r="AE65" i="1"/>
  <c r="AB61" i="1"/>
  <c r="AE61" i="1"/>
  <c r="AC61" i="1"/>
  <c r="AG61" i="1"/>
  <c r="AB57" i="1"/>
  <c r="AE57" i="1"/>
  <c r="AC57" i="1"/>
  <c r="AG57" i="1"/>
  <c r="AB53" i="1"/>
  <c r="AE53" i="1"/>
  <c r="AC53" i="1"/>
  <c r="AG53" i="1"/>
  <c r="AB45" i="1"/>
  <c r="AE45" i="1"/>
  <c r="AC45" i="1"/>
  <c r="AG45" i="1"/>
  <c r="AB41" i="1"/>
  <c r="AE41" i="1"/>
  <c r="AC41" i="1"/>
  <c r="AG41" i="1"/>
  <c r="AB37" i="1"/>
  <c r="AE37" i="1"/>
  <c r="AC37" i="1"/>
  <c r="AH37" i="1"/>
  <c r="AB33" i="1"/>
  <c r="AC33" i="1"/>
  <c r="AH33" i="1"/>
  <c r="AE33" i="1"/>
  <c r="AD33" i="1"/>
  <c r="AB29" i="1"/>
  <c r="AE29" i="1"/>
  <c r="AC29" i="1"/>
  <c r="AH29" i="1"/>
  <c r="AG29" i="1"/>
  <c r="AB25" i="1"/>
  <c r="AC25" i="1"/>
  <c r="AH25" i="1"/>
  <c r="AE25" i="1"/>
  <c r="AB21" i="1"/>
  <c r="AE21" i="1"/>
  <c r="AI21" i="1" s="1" a="1"/>
  <c r="AI21" i="1" s="1"/>
  <c r="AC21" i="1"/>
  <c r="AH21" i="1"/>
  <c r="AB17" i="1"/>
  <c r="AC17" i="1"/>
  <c r="AH17" i="1"/>
  <c r="AE17" i="1"/>
  <c r="AD17" i="1"/>
  <c r="AB13" i="1"/>
  <c r="AE13" i="1"/>
  <c r="AC13" i="1"/>
  <c r="AH13" i="1"/>
  <c r="AG13" i="1"/>
  <c r="AB12" i="1"/>
  <c r="AD12" i="1"/>
  <c r="AH12" i="1"/>
  <c r="AC12" i="1"/>
  <c r="AI12" i="1" s="1" a="1"/>
  <c r="AI12" i="1" s="1"/>
  <c r="AB11" i="1"/>
  <c r="AG11" i="1"/>
  <c r="AD11" i="1"/>
  <c r="AH11" i="1"/>
  <c r="AB10" i="1"/>
  <c r="AD10" i="1"/>
  <c r="AH10" i="1"/>
  <c r="AG10" i="1"/>
  <c r="AE10" i="1"/>
  <c r="AC10" i="1"/>
  <c r="AE9" i="1"/>
  <c r="AG138" i="1"/>
  <c r="AC138" i="1"/>
  <c r="AE137" i="1"/>
  <c r="AG136" i="1"/>
  <c r="AC136" i="1"/>
  <c r="AE135" i="1"/>
  <c r="AG134" i="1"/>
  <c r="AC134" i="1"/>
  <c r="AE133" i="1"/>
  <c r="AG132" i="1"/>
  <c r="AC132" i="1"/>
  <c r="AE131" i="1"/>
  <c r="AG130" i="1"/>
  <c r="AC130" i="1"/>
  <c r="AE129" i="1"/>
  <c r="AG128" i="1"/>
  <c r="AC128" i="1"/>
  <c r="AE127" i="1"/>
  <c r="AG126" i="1"/>
  <c r="AC126" i="1"/>
  <c r="AE125" i="1"/>
  <c r="AG124" i="1"/>
  <c r="AC124" i="1"/>
  <c r="AE123" i="1"/>
  <c r="AG122" i="1"/>
  <c r="AC122" i="1"/>
  <c r="AE121" i="1"/>
  <c r="AG120" i="1"/>
  <c r="AC120" i="1"/>
  <c r="AE119" i="1"/>
  <c r="AG118" i="1"/>
  <c r="AC118" i="1"/>
  <c r="AE117" i="1"/>
  <c r="AG116" i="1"/>
  <c r="AC116" i="1"/>
  <c r="AE115" i="1"/>
  <c r="AG114" i="1"/>
  <c r="AC114" i="1"/>
  <c r="AE113" i="1"/>
  <c r="AG112" i="1"/>
  <c r="AC112" i="1"/>
  <c r="AE111" i="1"/>
  <c r="AG110" i="1"/>
  <c r="AC110" i="1"/>
  <c r="AE109" i="1"/>
  <c r="AG108" i="1"/>
  <c r="AC108" i="1"/>
  <c r="AE107" i="1"/>
  <c r="AG106" i="1"/>
  <c r="AC106" i="1"/>
  <c r="AE105" i="1"/>
  <c r="AG104" i="1"/>
  <c r="AC104" i="1"/>
  <c r="AE103" i="1"/>
  <c r="AG102" i="1"/>
  <c r="AC102" i="1"/>
  <c r="AE101" i="1"/>
  <c r="AG100" i="1"/>
  <c r="AC100" i="1"/>
  <c r="AE99" i="1"/>
  <c r="AG98" i="1"/>
  <c r="AC98" i="1"/>
  <c r="AE97" i="1"/>
  <c r="AG96" i="1"/>
  <c r="AC96" i="1"/>
  <c r="AE94" i="1"/>
  <c r="AH89" i="1"/>
  <c r="AC89" i="1"/>
  <c r="AD88" i="1"/>
  <c r="AD87" i="1"/>
  <c r="AE86" i="1"/>
  <c r="AH82" i="1"/>
  <c r="AH81" i="1"/>
  <c r="AC81" i="1"/>
  <c r="AD79" i="1"/>
  <c r="AH74" i="1"/>
  <c r="AH73" i="1"/>
  <c r="AC73" i="1"/>
  <c r="AD71" i="1"/>
  <c r="AH66" i="1"/>
  <c r="AH65" i="1"/>
  <c r="AD61" i="1"/>
  <c r="AH57" i="1"/>
  <c r="AD45" i="1"/>
  <c r="AH41" i="1"/>
  <c r="AH39" i="1"/>
  <c r="AI39" i="1" s="1" a="1"/>
  <c r="AI39" i="1" s="1"/>
  <c r="AG37" i="1"/>
  <c r="AG25" i="1"/>
  <c r="AE23" i="1"/>
  <c r="AD21" i="1"/>
  <c r="AC14" i="1"/>
  <c r="AE11" i="1"/>
  <c r="AB78" i="1"/>
  <c r="AC78" i="1"/>
  <c r="AG78" i="1"/>
  <c r="AB70" i="1"/>
  <c r="AC70" i="1"/>
  <c r="AG70" i="1"/>
  <c r="AB54" i="1"/>
  <c r="AC54" i="1"/>
  <c r="AG54" i="1"/>
  <c r="AE54" i="1"/>
  <c r="AH54" i="1"/>
  <c r="AB95" i="1"/>
  <c r="AE95" i="1"/>
  <c r="AB91" i="1"/>
  <c r="AE91" i="1"/>
  <c r="AI91" i="1" s="1" a="1"/>
  <c r="AI91" i="1" s="1"/>
  <c r="AB84" i="1"/>
  <c r="AC84" i="1"/>
  <c r="AG84" i="1"/>
  <c r="AB80" i="1"/>
  <c r="AI80" i="1" s="1" a="1"/>
  <c r="AI80" i="1" s="1"/>
  <c r="AC80" i="1"/>
  <c r="AG80" i="1"/>
  <c r="AB76" i="1"/>
  <c r="AC76" i="1"/>
  <c r="AG76" i="1"/>
  <c r="AB72" i="1"/>
  <c r="AC72" i="1"/>
  <c r="AG72" i="1"/>
  <c r="AB68" i="1"/>
  <c r="AC68" i="1"/>
  <c r="AG68" i="1"/>
  <c r="AB64" i="1"/>
  <c r="AC64" i="1"/>
  <c r="AG64" i="1"/>
  <c r="AE64" i="1"/>
  <c r="AD64" i="1"/>
  <c r="AB60" i="1"/>
  <c r="AC60" i="1"/>
  <c r="AG60" i="1"/>
  <c r="AE60" i="1"/>
  <c r="AD60" i="1"/>
  <c r="AB56" i="1"/>
  <c r="AC56" i="1"/>
  <c r="AG56" i="1"/>
  <c r="AE56" i="1"/>
  <c r="AI56" i="1" s="1" a="1"/>
  <c r="AI56" i="1" s="1"/>
  <c r="AD56" i="1"/>
  <c r="AB52" i="1"/>
  <c r="AC52" i="1"/>
  <c r="AG52" i="1"/>
  <c r="AE52" i="1"/>
  <c r="AD52" i="1"/>
  <c r="AB44" i="1"/>
  <c r="AC44" i="1"/>
  <c r="AG44" i="1"/>
  <c r="AE44" i="1"/>
  <c r="AD44" i="1"/>
  <c r="AB40" i="1"/>
  <c r="AC40" i="1"/>
  <c r="AG40" i="1"/>
  <c r="AE40" i="1"/>
  <c r="AD40" i="1"/>
  <c r="AB36" i="1"/>
  <c r="AD36" i="1"/>
  <c r="AH36" i="1"/>
  <c r="AC36" i="1"/>
  <c r="AG36" i="1"/>
  <c r="AB32" i="1"/>
  <c r="AD32" i="1"/>
  <c r="AH32" i="1"/>
  <c r="AC32" i="1"/>
  <c r="AB28" i="1"/>
  <c r="AD28" i="1"/>
  <c r="AH28" i="1"/>
  <c r="AI28" i="1" s="1" a="1"/>
  <c r="AI28" i="1" s="1"/>
  <c r="AC28" i="1"/>
  <c r="AB24" i="1"/>
  <c r="AD24" i="1"/>
  <c r="AH24" i="1"/>
  <c r="AC24" i="1"/>
  <c r="AE24" i="1"/>
  <c r="AB20" i="1"/>
  <c r="AD20" i="1"/>
  <c r="AH20" i="1"/>
  <c r="AC20" i="1"/>
  <c r="AG20" i="1"/>
  <c r="AB16" i="1"/>
  <c r="AD16" i="1"/>
  <c r="AH16" i="1"/>
  <c r="AI16" i="1" s="1" a="1"/>
  <c r="AI16" i="1" s="1"/>
  <c r="AC16" i="1"/>
  <c r="AH137" i="1"/>
  <c r="AD137" i="1"/>
  <c r="AH135" i="1"/>
  <c r="AD135" i="1"/>
  <c r="AH133" i="1"/>
  <c r="AD133" i="1"/>
  <c r="AH131" i="1"/>
  <c r="AD131" i="1"/>
  <c r="AH129" i="1"/>
  <c r="AD129" i="1"/>
  <c r="AH127" i="1"/>
  <c r="AD127" i="1"/>
  <c r="AH125" i="1"/>
  <c r="AD125" i="1"/>
  <c r="AH123" i="1"/>
  <c r="AD123" i="1"/>
  <c r="AH121" i="1"/>
  <c r="AD121" i="1"/>
  <c r="AH119" i="1"/>
  <c r="AD119" i="1"/>
  <c r="AH117" i="1"/>
  <c r="AD117" i="1"/>
  <c r="AH115" i="1"/>
  <c r="AD115" i="1"/>
  <c r="AH113" i="1"/>
  <c r="AD113" i="1"/>
  <c r="AH111" i="1"/>
  <c r="AD111" i="1"/>
  <c r="AH109" i="1"/>
  <c r="AD109" i="1"/>
  <c r="AH107" i="1"/>
  <c r="AD107" i="1"/>
  <c r="AH105" i="1"/>
  <c r="AD105" i="1"/>
  <c r="AH103" i="1"/>
  <c r="AD103" i="1"/>
  <c r="AH101" i="1"/>
  <c r="AD101" i="1"/>
  <c r="AH99" i="1"/>
  <c r="AD99" i="1"/>
  <c r="AH97" i="1"/>
  <c r="AD97" i="1"/>
  <c r="AH95" i="1"/>
  <c r="AC95" i="1"/>
  <c r="AD93" i="1"/>
  <c r="AE92" i="1"/>
  <c r="AH88" i="1"/>
  <c r="AH87" i="1"/>
  <c r="AC87" i="1"/>
  <c r="AD86" i="1"/>
  <c r="AD85" i="1"/>
  <c r="AE84" i="1"/>
  <c r="AG81" i="1"/>
  <c r="AH80" i="1"/>
  <c r="AH79" i="1"/>
  <c r="AD78" i="1"/>
  <c r="AD77" i="1"/>
  <c r="AE76" i="1"/>
  <c r="AG73" i="1"/>
  <c r="AH72" i="1"/>
  <c r="AH71" i="1"/>
  <c r="AD70" i="1"/>
  <c r="AD69" i="1"/>
  <c r="AE68" i="1"/>
  <c r="AG65" i="1"/>
  <c r="AH60" i="1"/>
  <c r="AD57" i="1"/>
  <c r="AH53" i="1"/>
  <c r="AH44" i="1"/>
  <c r="AD41" i="1"/>
  <c r="AD37" i="1"/>
  <c r="AE32" i="1"/>
  <c r="AC30" i="1"/>
  <c r="AD25" i="1"/>
  <c r="AE20" i="1"/>
  <c r="AD13" i="1"/>
  <c r="AC11" i="1"/>
  <c r="AB89" i="1"/>
  <c r="AE89" i="1"/>
  <c r="AB82" i="1"/>
  <c r="AC82" i="1"/>
  <c r="AG82" i="1"/>
  <c r="AB74" i="1"/>
  <c r="AC74" i="1"/>
  <c r="AG74" i="1"/>
  <c r="AB42" i="1"/>
  <c r="AC42" i="1"/>
  <c r="AG42" i="1"/>
  <c r="AE42" i="1"/>
  <c r="AI42" i="1" s="1" a="1"/>
  <c r="AI42" i="1" s="1"/>
  <c r="AH42" i="1"/>
  <c r="AB38" i="1"/>
  <c r="AD38" i="1"/>
  <c r="AH38" i="1"/>
  <c r="AE38" i="1"/>
  <c r="AG38" i="1"/>
  <c r="AB26" i="1"/>
  <c r="AD26" i="1"/>
  <c r="AH26" i="1"/>
  <c r="AG26" i="1"/>
  <c r="AE26" i="1"/>
  <c r="AC26" i="1"/>
  <c r="AB18" i="1"/>
  <c r="AD18" i="1"/>
  <c r="AH18" i="1"/>
  <c r="AG18" i="1"/>
  <c r="AE18" i="1"/>
  <c r="AB94" i="1"/>
  <c r="AC94" i="1"/>
  <c r="AG94" i="1"/>
  <c r="AB90" i="1"/>
  <c r="AC90" i="1"/>
  <c r="AG90" i="1"/>
  <c r="AB83" i="1"/>
  <c r="AE83" i="1"/>
  <c r="AB79" i="1"/>
  <c r="AE79" i="1"/>
  <c r="AI79" i="1" s="1" a="1"/>
  <c r="AI79" i="1" s="1"/>
  <c r="AB75" i="1"/>
  <c r="AE75" i="1"/>
  <c r="AB71" i="1"/>
  <c r="AE71" i="1"/>
  <c r="AI71" i="1" s="1" a="1"/>
  <c r="AI71" i="1" s="1"/>
  <c r="AB67" i="1"/>
  <c r="AE67" i="1"/>
  <c r="AB63" i="1"/>
  <c r="AE63" i="1"/>
  <c r="AI63" i="1" s="1" a="1"/>
  <c r="AI63" i="1" s="1"/>
  <c r="AC63" i="1"/>
  <c r="AG63" i="1"/>
  <c r="AB59" i="1"/>
  <c r="AE59" i="1"/>
  <c r="AI59" i="1" s="1" a="1"/>
  <c r="AI59" i="1" s="1"/>
  <c r="AC59" i="1"/>
  <c r="AG59" i="1"/>
  <c r="AB55" i="1"/>
  <c r="AE55" i="1"/>
  <c r="AC55" i="1"/>
  <c r="AG55" i="1"/>
  <c r="AB51" i="1"/>
  <c r="AE51" i="1"/>
  <c r="AI51" i="1" s="1" a="1"/>
  <c r="AI51" i="1" s="1"/>
  <c r="AC51" i="1"/>
  <c r="AG51" i="1"/>
  <c r="AB50" i="1"/>
  <c r="AC50" i="1"/>
  <c r="AG50" i="1"/>
  <c r="AE50" i="1"/>
  <c r="AH50" i="1"/>
  <c r="AB49" i="1"/>
  <c r="AE49" i="1"/>
  <c r="AC49" i="1"/>
  <c r="AG49" i="1"/>
  <c r="AB48" i="1"/>
  <c r="AC48" i="1"/>
  <c r="AG48" i="1"/>
  <c r="AE48" i="1"/>
  <c r="AD48" i="1"/>
  <c r="AB47" i="1"/>
  <c r="AE47" i="1"/>
  <c r="AC47" i="1"/>
  <c r="AG47" i="1"/>
  <c r="AB43" i="1"/>
  <c r="AE43" i="1"/>
  <c r="AC43" i="1"/>
  <c r="AG43" i="1"/>
  <c r="AB39" i="1"/>
  <c r="AD39" i="1"/>
  <c r="AG39" i="1"/>
  <c r="AB35" i="1"/>
  <c r="AG35" i="1"/>
  <c r="AD35" i="1"/>
  <c r="AC35" i="1"/>
  <c r="AB31" i="1"/>
  <c r="AD31" i="1"/>
  <c r="AG31" i="1"/>
  <c r="AE31" i="1"/>
  <c r="AB27" i="1"/>
  <c r="AG27" i="1"/>
  <c r="AD27" i="1"/>
  <c r="AH27" i="1"/>
  <c r="AI27" i="1" s="1" a="1"/>
  <c r="AI27" i="1" s="1"/>
  <c r="AB23" i="1"/>
  <c r="AD23" i="1"/>
  <c r="AG23" i="1"/>
  <c r="AB19" i="1"/>
  <c r="AI19" i="1" s="1" a="1"/>
  <c r="AI19" i="1" s="1"/>
  <c r="AG19" i="1"/>
  <c r="AD19" i="1"/>
  <c r="AC19" i="1"/>
  <c r="AB15" i="1"/>
  <c r="AD15" i="1"/>
  <c r="AG15" i="1"/>
  <c r="AE15" i="1"/>
  <c r="AC9" i="1"/>
  <c r="AG9" i="1"/>
  <c r="AE138" i="1"/>
  <c r="AG137" i="1"/>
  <c r="AC137" i="1"/>
  <c r="AE136" i="1"/>
  <c r="AI136" i="1" s="1" a="1"/>
  <c r="AI136" i="1" s="1"/>
  <c r="AG135" i="1"/>
  <c r="AC135" i="1"/>
  <c r="AE134" i="1"/>
  <c r="AI134" i="1" s="1" a="1"/>
  <c r="AI134" i="1" s="1"/>
  <c r="AG133" i="1"/>
  <c r="AC133" i="1"/>
  <c r="AE132" i="1"/>
  <c r="AI132" i="1" s="1" a="1"/>
  <c r="AI132" i="1" s="1"/>
  <c r="AG131" i="1"/>
  <c r="AC131" i="1"/>
  <c r="AE130" i="1"/>
  <c r="AG129" i="1"/>
  <c r="AC129" i="1"/>
  <c r="AE128" i="1"/>
  <c r="AI128" i="1" s="1" a="1"/>
  <c r="AI128" i="1" s="1"/>
  <c r="AG127" i="1"/>
  <c r="AC127" i="1"/>
  <c r="AE126" i="1"/>
  <c r="AI126" i="1" s="1" a="1"/>
  <c r="AI126" i="1" s="1"/>
  <c r="AG125" i="1"/>
  <c r="AC125" i="1"/>
  <c r="AE124" i="1"/>
  <c r="AI124" i="1" s="1" a="1"/>
  <c r="AI124" i="1" s="1"/>
  <c r="AG123" i="1"/>
  <c r="AC123" i="1"/>
  <c r="AE122" i="1"/>
  <c r="AG121" i="1"/>
  <c r="AC121" i="1"/>
  <c r="AE120" i="1"/>
  <c r="AI120" i="1" s="1" a="1"/>
  <c r="AI120" i="1" s="1"/>
  <c r="AG119" i="1"/>
  <c r="AC119" i="1"/>
  <c r="AE118" i="1"/>
  <c r="AI118" i="1" s="1" a="1"/>
  <c r="AI118" i="1" s="1"/>
  <c r="AG117" i="1"/>
  <c r="AC117" i="1"/>
  <c r="AE116" i="1"/>
  <c r="AI116" i="1" s="1" a="1"/>
  <c r="AI116" i="1" s="1"/>
  <c r="AG115" i="1"/>
  <c r="AC115" i="1"/>
  <c r="AE114" i="1"/>
  <c r="AG113" i="1"/>
  <c r="AC113" i="1"/>
  <c r="AE112" i="1"/>
  <c r="AI112" i="1" s="1" a="1"/>
  <c r="AI112" i="1" s="1"/>
  <c r="AG111" i="1"/>
  <c r="AC111" i="1"/>
  <c r="AE110" i="1"/>
  <c r="AI110" i="1" s="1" a="1"/>
  <c r="AI110" i="1" s="1"/>
  <c r="AG109" i="1"/>
  <c r="AC109" i="1"/>
  <c r="AE108" i="1"/>
  <c r="AI108" i="1" s="1" a="1"/>
  <c r="AI108" i="1" s="1"/>
  <c r="AG107" i="1"/>
  <c r="AC107" i="1"/>
  <c r="AE106" i="1"/>
  <c r="AG105" i="1"/>
  <c r="AC105" i="1"/>
  <c r="AE104" i="1"/>
  <c r="AI104" i="1" s="1" a="1"/>
  <c r="AI104" i="1" s="1"/>
  <c r="AG103" i="1"/>
  <c r="AC103" i="1"/>
  <c r="AE102" i="1"/>
  <c r="AG101" i="1"/>
  <c r="AC101" i="1"/>
  <c r="AE100" i="1"/>
  <c r="AI100" i="1" s="1" a="1"/>
  <c r="AI100" i="1" s="1"/>
  <c r="AG99" i="1"/>
  <c r="AC99" i="1"/>
  <c r="AE98" i="1"/>
  <c r="AG97" i="1"/>
  <c r="AC97" i="1"/>
  <c r="AE96" i="1"/>
  <c r="AI96" i="1" s="1" a="1"/>
  <c r="AI96" i="1" s="1"/>
  <c r="AG95" i="1"/>
  <c r="AH94" i="1"/>
  <c r="AH93" i="1"/>
  <c r="AC93" i="1"/>
  <c r="AD92" i="1"/>
  <c r="AD91" i="1"/>
  <c r="AE90" i="1"/>
  <c r="AG87" i="1"/>
  <c r="AH86" i="1"/>
  <c r="AH85" i="1"/>
  <c r="AC85" i="1"/>
  <c r="AD84" i="1"/>
  <c r="AD83" i="1"/>
  <c r="AE82" i="1"/>
  <c r="AG79" i="1"/>
  <c r="AH78" i="1"/>
  <c r="AI78" i="1" s="1" a="1"/>
  <c r="AI78" i="1" s="1"/>
  <c r="AH77" i="1"/>
  <c r="AC77" i="1"/>
  <c r="AD76" i="1"/>
  <c r="AD75" i="1"/>
  <c r="AE74" i="1"/>
  <c r="AG71" i="1"/>
  <c r="AH70" i="1"/>
  <c r="AH69" i="1"/>
  <c r="AC69" i="1"/>
  <c r="AD68" i="1"/>
  <c r="AD67" i="1"/>
  <c r="AE66" i="1"/>
  <c r="AI66" i="1" s="1" a="1"/>
  <c r="AI66" i="1" s="1"/>
  <c r="AH63" i="1"/>
  <c r="AD62" i="1"/>
  <c r="AH56" i="1"/>
  <c r="AD55" i="1"/>
  <c r="AD53" i="1"/>
  <c r="AH49" i="1"/>
  <c r="AH47" i="1"/>
  <c r="AD46" i="1"/>
  <c r="AH40" i="1"/>
  <c r="AC39" i="1"/>
  <c r="AE36" i="1"/>
  <c r="AC34" i="1"/>
  <c r="AH31" i="1"/>
  <c r="AD29" i="1"/>
  <c r="AC27" i="1"/>
  <c r="AG24" i="1"/>
  <c r="AC22" i="1"/>
  <c r="AH19" i="1"/>
  <c r="AG17" i="1"/>
  <c r="AC15" i="1"/>
  <c r="AG12" i="1"/>
  <c r="F10" i="4"/>
  <c r="L9" i="11"/>
  <c r="N10" i="11"/>
  <c r="M11" i="11"/>
  <c r="N11" i="11"/>
  <c r="K22" i="11"/>
  <c r="AI144" i="1" a="1"/>
  <c r="AI144" i="1" s="1"/>
  <c r="AI139" i="1" a="1"/>
  <c r="AI139" i="1" s="1"/>
  <c r="AI143" i="1" a="1"/>
  <c r="AI143" i="1" s="1"/>
  <c r="AI140" i="1" a="1"/>
  <c r="AI140" i="1" s="1"/>
  <c r="AT146" i="1"/>
  <c r="AT147" i="1" s="1"/>
  <c r="E60" i="4"/>
  <c r="E54" i="4"/>
  <c r="E48" i="4"/>
  <c r="I29" i="11"/>
  <c r="K26" i="11"/>
  <c r="G26" i="11"/>
  <c r="M25" i="11"/>
  <c r="K24" i="11"/>
  <c r="G31" i="11"/>
  <c r="G23" i="11"/>
  <c r="M32" i="11"/>
  <c r="I26" i="11"/>
  <c r="I22" i="11"/>
  <c r="G29" i="11"/>
  <c r="K25" i="11"/>
  <c r="N8" i="11"/>
  <c r="J11" i="11"/>
  <c r="K10" i="11"/>
  <c r="N9" i="11"/>
  <c r="I8" i="11"/>
  <c r="L8" i="11"/>
  <c r="L11" i="11"/>
  <c r="J9" i="11"/>
  <c r="E91" i="18"/>
  <c r="G27" i="11"/>
  <c r="G22" i="11"/>
  <c r="I32" i="11"/>
  <c r="M30" i="11"/>
  <c r="N26" i="11"/>
  <c r="N30" i="11"/>
  <c r="N22" i="11"/>
  <c r="N14" i="11"/>
  <c r="K20" i="11"/>
  <c r="K15" i="11"/>
  <c r="I25" i="11"/>
  <c r="I21" i="11"/>
  <c r="M15" i="11"/>
  <c r="K14" i="11"/>
  <c r="I13" i="11"/>
  <c r="H32" i="11"/>
  <c r="G24" i="11"/>
  <c r="G12" i="11"/>
  <c r="M28" i="11"/>
  <c r="K27" i="11"/>
  <c r="M24" i="11"/>
  <c r="K23" i="11"/>
  <c r="I23" i="11"/>
  <c r="K16" i="11"/>
  <c r="I15" i="11"/>
  <c r="M13" i="11"/>
  <c r="K29" i="11"/>
  <c r="J24" i="11"/>
  <c r="J20" i="11"/>
  <c r="J12" i="11"/>
  <c r="G18" i="11"/>
  <c r="K12" i="11"/>
  <c r="K21" i="11"/>
  <c r="I17" i="11"/>
  <c r="M12" i="11"/>
  <c r="G21" i="11"/>
  <c r="L29" i="11"/>
  <c r="L23" i="11"/>
  <c r="J29" i="11"/>
  <c r="J22" i="11"/>
  <c r="N27" i="11"/>
  <c r="N19" i="11"/>
  <c r="N24" i="11"/>
  <c r="N16" i="11"/>
  <c r="J14" i="11"/>
  <c r="J25" i="11"/>
  <c r="J17" i="11"/>
  <c r="J31" i="11"/>
  <c r="N13" i="11"/>
  <c r="J30" i="11"/>
  <c r="J27" i="11"/>
  <c r="N23" i="11"/>
  <c r="J21" i="11"/>
  <c r="J18" i="11"/>
  <c r="N15" i="11"/>
  <c r="J13" i="11"/>
  <c r="N21" i="11"/>
  <c r="J19" i="11"/>
  <c r="N29" i="11"/>
  <c r="N25" i="11"/>
  <c r="J23" i="11"/>
  <c r="N20" i="11"/>
  <c r="N17" i="11"/>
  <c r="J15" i="11"/>
  <c r="N12" i="11"/>
  <c r="J26" i="11"/>
  <c r="D49" i="22"/>
  <c r="E49" i="22" s="1"/>
  <c r="L32" i="11"/>
  <c r="N18" i="11"/>
  <c r="G32" i="11"/>
  <c r="M26" i="11"/>
  <c r="I24" i="11"/>
  <c r="M22" i="11"/>
  <c r="I20" i="11"/>
  <c r="I16" i="11"/>
  <c r="M14" i="11"/>
  <c r="I12" i="11"/>
  <c r="N32" i="11"/>
  <c r="J32" i="11"/>
  <c r="N31" i="11"/>
  <c r="H31" i="11"/>
  <c r="L30" i="11"/>
  <c r="H30" i="11"/>
  <c r="H29" i="11"/>
  <c r="L27" i="11"/>
  <c r="H27" i="11"/>
  <c r="L26" i="11"/>
  <c r="H26" i="11"/>
  <c r="L25" i="11"/>
  <c r="H25" i="11"/>
  <c r="L24" i="11"/>
  <c r="H24" i="11"/>
  <c r="H23" i="11"/>
  <c r="L22" i="11"/>
  <c r="H22" i="11"/>
  <c r="L21" i="11"/>
  <c r="H21" i="11"/>
  <c r="L20" i="11"/>
  <c r="H20" i="11"/>
  <c r="L19" i="11"/>
  <c r="H19" i="11"/>
  <c r="L18" i="11"/>
  <c r="H18" i="11"/>
  <c r="L17" i="11"/>
  <c r="H17" i="11"/>
  <c r="L16" i="11"/>
  <c r="H16" i="11"/>
  <c r="L15" i="11"/>
  <c r="H15" i="11"/>
  <c r="L14" i="11"/>
  <c r="H14" i="11"/>
  <c r="L13" i="11"/>
  <c r="H13" i="11"/>
  <c r="L12" i="11"/>
  <c r="H12" i="11"/>
  <c r="L31" i="11"/>
  <c r="J28" i="11"/>
  <c r="H28" i="11"/>
  <c r="N28" i="11"/>
  <c r="L28" i="11"/>
  <c r="E12" i="18"/>
  <c r="E191" i="18"/>
  <c r="E158" i="18"/>
  <c r="E162" i="18"/>
  <c r="E166" i="18"/>
  <c r="E138" i="18"/>
  <c r="E96" i="18"/>
  <c r="E42" i="18"/>
  <c r="E46" i="18"/>
  <c r="E50" i="18"/>
  <c r="E15" i="18"/>
  <c r="E23" i="18"/>
  <c r="E202" i="18"/>
  <c r="E155" i="18"/>
  <c r="E159" i="18"/>
  <c r="E153" i="18"/>
  <c r="E139" i="18"/>
  <c r="E143" i="18"/>
  <c r="E117" i="18"/>
  <c r="E125" i="18"/>
  <c r="E93" i="18"/>
  <c r="E97" i="18"/>
  <c r="E43" i="18"/>
  <c r="E47" i="18"/>
  <c r="E51" i="18"/>
  <c r="E20" i="18"/>
  <c r="E24" i="18"/>
  <c r="E200" i="18"/>
  <c r="E180" i="18"/>
  <c r="E156" i="18"/>
  <c r="E160" i="18"/>
  <c r="E164" i="18"/>
  <c r="E140" i="18"/>
  <c r="E144" i="18"/>
  <c r="E118" i="18"/>
  <c r="E122" i="18"/>
  <c r="E94" i="18"/>
  <c r="E98" i="18"/>
  <c r="E48" i="18"/>
  <c r="E52" i="18"/>
  <c r="E17" i="18"/>
  <c r="E21" i="18"/>
  <c r="E25" i="18"/>
  <c r="D180" i="18"/>
  <c r="E177" i="18"/>
  <c r="E157" i="18"/>
  <c r="E161" i="18"/>
  <c r="E165" i="18"/>
  <c r="E137" i="18"/>
  <c r="E141" i="18"/>
  <c r="E135" i="18"/>
  <c r="E119" i="18"/>
  <c r="E99" i="18"/>
  <c r="E49" i="18"/>
  <c r="E41" i="18"/>
  <c r="E22" i="18"/>
  <c r="E55" i="4"/>
  <c r="E43" i="4"/>
  <c r="F182" i="18"/>
  <c r="F218" i="18" s="1"/>
  <c r="F193" i="18"/>
  <c r="F219" i="18" s="1"/>
  <c r="F204" i="18"/>
  <c r="F220" i="18" s="1"/>
  <c r="F168" i="18"/>
  <c r="F217" i="18" s="1"/>
  <c r="F104" i="18"/>
  <c r="F214" i="18" s="1"/>
  <c r="F146" i="18"/>
  <c r="F216" i="18" s="1"/>
  <c r="F128" i="18"/>
  <c r="F215" i="18" s="1"/>
  <c r="F84" i="18"/>
  <c r="F213" i="18" s="1"/>
  <c r="F34" i="18"/>
  <c r="F211" i="18" s="1"/>
  <c r="F54" i="18"/>
  <c r="F212" i="18" s="1"/>
  <c r="I171" i="17"/>
  <c r="E41" i="4"/>
  <c r="E59" i="4"/>
  <c r="E51" i="4"/>
  <c r="E47" i="4"/>
  <c r="E56" i="4"/>
  <c r="E52" i="4"/>
  <c r="E50" i="4"/>
  <c r="E46" i="4"/>
  <c r="E44" i="4"/>
  <c r="E42" i="4"/>
  <c r="E61" i="4"/>
  <c r="E57" i="4"/>
  <c r="E53" i="4"/>
  <c r="E49" i="4"/>
  <c r="E45" i="4"/>
  <c r="E62" i="4"/>
  <c r="E58" i="4"/>
  <c r="O19" i="15"/>
  <c r="O18" i="15"/>
  <c r="O17" i="15"/>
  <c r="AI130" i="1"/>
  <c r="AI46" i="1"/>
  <c r="AI138" i="1"/>
  <c r="AI102" i="1"/>
  <c r="AI70" i="1"/>
  <c r="AI142" i="1"/>
  <c r="AI114" i="1"/>
  <c r="AI84" i="1"/>
  <c r="AI33" i="1"/>
  <c r="F235" i="2" a="1"/>
  <c r="F235" i="2" s="1"/>
  <c r="F236" i="2" a="1"/>
  <c r="F236" i="2" s="1"/>
  <c r="B21" i="13"/>
  <c r="C20" i="13"/>
  <c r="C19" i="13"/>
  <c r="C21" i="13"/>
  <c r="F228" i="2" a="1"/>
  <c r="F228" i="2" s="1"/>
  <c r="F230" i="2" a="1"/>
  <c r="F230" i="2" s="1"/>
  <c r="F244" i="2" a="1"/>
  <c r="F244" i="2" s="1"/>
  <c r="F242" i="2" a="1"/>
  <c r="F242" i="2" s="1"/>
  <c r="F243" i="2" a="1"/>
  <c r="F243" i="2" s="1"/>
  <c r="E28" i="12"/>
  <c r="E27" i="12"/>
  <c r="E26" i="12"/>
  <c r="F16" i="12"/>
  <c r="F11" i="12"/>
  <c r="F15" i="12"/>
  <c r="F13" i="12"/>
  <c r="F14" i="12"/>
  <c r="D12" i="12"/>
  <c r="F29" i="10"/>
  <c r="G29" i="10" s="1"/>
  <c r="G30" i="10" s="1"/>
  <c r="F17" i="10"/>
  <c r="G17" i="10" s="1"/>
  <c r="G18" i="10" s="1"/>
  <c r="D8" i="13" l="1"/>
  <c r="D14" i="13"/>
  <c r="K24" i="7" a="1"/>
  <c r="K24" i="7" s="1"/>
  <c r="F11" i="7"/>
  <c r="F15" i="7"/>
  <c r="F19" i="7"/>
  <c r="F23" i="7"/>
  <c r="F9" i="7"/>
  <c r="F13" i="7"/>
  <c r="F17" i="7"/>
  <c r="F21" i="7"/>
  <c r="F12" i="7"/>
  <c r="F16" i="7"/>
  <c r="F20" i="7"/>
  <c r="F8" i="7"/>
  <c r="F10" i="7"/>
  <c r="F14" i="7"/>
  <c r="F18" i="7"/>
  <c r="F22" i="7"/>
  <c r="D23" i="13"/>
  <c r="D12" i="13"/>
  <c r="O10" i="11"/>
  <c r="D15" i="13"/>
  <c r="O18" i="11"/>
  <c r="O28" i="11"/>
  <c r="O9" i="11"/>
  <c r="O8" i="11"/>
  <c r="H9" i="15" s="1"/>
  <c r="O17" i="11"/>
  <c r="O19" i="11"/>
  <c r="D10" i="13"/>
  <c r="C49" i="27" s="1"/>
  <c r="D17" i="13"/>
  <c r="D11" i="13"/>
  <c r="C50" i="27" s="1"/>
  <c r="D9" i="13"/>
  <c r="C48" i="27" s="1"/>
  <c r="D16" i="13"/>
  <c r="O11" i="11"/>
  <c r="H12" i="15" s="1"/>
  <c r="D22" i="13"/>
  <c r="K48" i="27" s="1"/>
  <c r="P10" i="11"/>
  <c r="O30" i="11"/>
  <c r="O31" i="11"/>
  <c r="AI109" i="1" a="1"/>
  <c r="AI109" i="1" s="1"/>
  <c r="AI125" i="1" a="1"/>
  <c r="AI125" i="1" s="1"/>
  <c r="AI87" i="1" a="1"/>
  <c r="AI87" i="1" s="1"/>
  <c r="AI90" i="1" a="1"/>
  <c r="AI90" i="1" s="1"/>
  <c r="AI31" i="1" a="1"/>
  <c r="AI31" i="1" s="1"/>
  <c r="AI26" i="1" a="1"/>
  <c r="AI26" i="1" s="1"/>
  <c r="AI40" i="1" a="1"/>
  <c r="AI40" i="1" s="1"/>
  <c r="AI11" i="1" a="1"/>
  <c r="AI11" i="1" s="1"/>
  <c r="AI99" i="1" a="1"/>
  <c r="AI99" i="1" s="1"/>
  <c r="AI115" i="1" a="1"/>
  <c r="AI115" i="1" s="1"/>
  <c r="AI131" i="1" a="1"/>
  <c r="AI131" i="1" s="1"/>
  <c r="AI29" i="1" a="1"/>
  <c r="AI29" i="1" s="1"/>
  <c r="AI81" i="1" a="1"/>
  <c r="AI81" i="1" s="1"/>
  <c r="AI22" i="1" a="1"/>
  <c r="AI22" i="1" s="1"/>
  <c r="AI93" i="1" a="1"/>
  <c r="AI93" i="1" s="1"/>
  <c r="AI15" i="1" a="1"/>
  <c r="AI15" i="1" s="1"/>
  <c r="AI43" i="1" a="1"/>
  <c r="AI43" i="1" s="1"/>
  <c r="AI47" i="1" a="1"/>
  <c r="AI47" i="1" s="1"/>
  <c r="AI50" i="1" a="1"/>
  <c r="AI50" i="1" s="1"/>
  <c r="AI67" i="1" a="1"/>
  <c r="AI67" i="1" s="1"/>
  <c r="AI75" i="1" a="1"/>
  <c r="AI75" i="1" s="1"/>
  <c r="AI89" i="1" a="1"/>
  <c r="AI89" i="1" s="1"/>
  <c r="AI20" i="1" a="1"/>
  <c r="AI20" i="1" s="1"/>
  <c r="AI24" i="1" a="1"/>
  <c r="AI24" i="1" s="1"/>
  <c r="AI44" i="1" a="1"/>
  <c r="AI44" i="1" s="1"/>
  <c r="AI64" i="1" a="1"/>
  <c r="AI64" i="1" s="1"/>
  <c r="AI86" i="1" a="1"/>
  <c r="AI86" i="1" s="1"/>
  <c r="AI97" i="1" a="1"/>
  <c r="AI97" i="1" s="1"/>
  <c r="AI105" i="1" a="1"/>
  <c r="AI105" i="1" s="1"/>
  <c r="AI121" i="1" a="1"/>
  <c r="AI121" i="1" s="1"/>
  <c r="AI17" i="1" a="1"/>
  <c r="AI17" i="1" s="1"/>
  <c r="AI25" i="1" a="1"/>
  <c r="AI25" i="1" s="1"/>
  <c r="AI37" i="1" a="1"/>
  <c r="AI37" i="1" s="1"/>
  <c r="AI41" i="1" a="1"/>
  <c r="AI41" i="1" s="1"/>
  <c r="AI53" i="1" a="1"/>
  <c r="AI53" i="1" s="1"/>
  <c r="AI57" i="1" a="1"/>
  <c r="AI57" i="1" s="1"/>
  <c r="AI61" i="1" a="1"/>
  <c r="AI61" i="1" s="1"/>
  <c r="AI30" i="1" a="1"/>
  <c r="AI30" i="1" s="1"/>
  <c r="AI34" i="1" a="1"/>
  <c r="AI34" i="1" s="1"/>
  <c r="AI62" i="1" a="1"/>
  <c r="AI62" i="1" s="1"/>
  <c r="AI55" i="1" a="1"/>
  <c r="AI55" i="1" s="1"/>
  <c r="AI23" i="1" a="1"/>
  <c r="AI23" i="1" s="1"/>
  <c r="AI117" i="1" a="1"/>
  <c r="AI117" i="1" s="1"/>
  <c r="AI133" i="1" a="1"/>
  <c r="AI133" i="1" s="1"/>
  <c r="AI65" i="1" a="1"/>
  <c r="AI65" i="1" s="1"/>
  <c r="AI36" i="1" a="1"/>
  <c r="AI36" i="1" s="1"/>
  <c r="AI48" i="1" a="1"/>
  <c r="AI48" i="1" s="1"/>
  <c r="AI68" i="1" a="1"/>
  <c r="AI68" i="1" s="1"/>
  <c r="AI60" i="1" a="1"/>
  <c r="AI60" i="1" s="1"/>
  <c r="AI107" i="1" a="1"/>
  <c r="AI107" i="1" s="1"/>
  <c r="AI123" i="1" a="1"/>
  <c r="AI123" i="1" s="1"/>
  <c r="AI9" i="1" a="1"/>
  <c r="AI9" i="1" s="1"/>
  <c r="AI73" i="1" a="1"/>
  <c r="AI73" i="1" s="1"/>
  <c r="AI58" i="1" a="1"/>
  <c r="AI58" i="1" s="1"/>
  <c r="AI82" i="1" a="1"/>
  <c r="AI82" i="1" s="1"/>
  <c r="AI74" i="1" a="1"/>
  <c r="AI74" i="1" s="1"/>
  <c r="AI98" i="1" a="1"/>
  <c r="AI98" i="1" s="1"/>
  <c r="AI106" i="1" a="1"/>
  <c r="AI106" i="1" s="1"/>
  <c r="AI122" i="1" a="1"/>
  <c r="AI122" i="1" s="1"/>
  <c r="AI49" i="1" a="1"/>
  <c r="AI49" i="1" s="1"/>
  <c r="AI18" i="1" a="1"/>
  <c r="AI18" i="1" s="1"/>
  <c r="AI38" i="1" a="1"/>
  <c r="AI38" i="1" s="1"/>
  <c r="AI76" i="1" a="1"/>
  <c r="AI76" i="1" s="1"/>
  <c r="AI92" i="1" a="1"/>
  <c r="AI92" i="1" s="1"/>
  <c r="AI52" i="1" a="1"/>
  <c r="AI52" i="1" s="1"/>
  <c r="AI95" i="1" a="1"/>
  <c r="AI95" i="1" s="1"/>
  <c r="AI54" i="1" a="1"/>
  <c r="AI54" i="1" s="1"/>
  <c r="AI94" i="1" a="1"/>
  <c r="AI94" i="1" s="1"/>
  <c r="AI103" i="1" a="1"/>
  <c r="AI103" i="1" s="1"/>
  <c r="AI111" i="1" a="1"/>
  <c r="AI111" i="1" s="1"/>
  <c r="AI119" i="1" a="1"/>
  <c r="AI119" i="1" s="1"/>
  <c r="AI127" i="1" a="1"/>
  <c r="AI127" i="1" s="1"/>
  <c r="AI135" i="1" a="1"/>
  <c r="AI135" i="1" s="1"/>
  <c r="AI10" i="1" a="1"/>
  <c r="AI10" i="1" s="1"/>
  <c r="AI13" i="1" a="1"/>
  <c r="AI13" i="1" s="1"/>
  <c r="AI77" i="1" a="1"/>
  <c r="AI77" i="1" s="1"/>
  <c r="AI85" i="1" a="1"/>
  <c r="AI85" i="1" s="1"/>
  <c r="O25" i="11"/>
  <c r="P9" i="11"/>
  <c r="P11" i="11"/>
  <c r="P8" i="11"/>
  <c r="O26" i="11"/>
  <c r="O29" i="11"/>
  <c r="O32" i="11"/>
  <c r="O13" i="11"/>
  <c r="O23" i="11"/>
  <c r="O16" i="11"/>
  <c r="O14" i="11"/>
  <c r="O24" i="11"/>
  <c r="F222" i="18"/>
  <c r="O27" i="11"/>
  <c r="O22" i="11"/>
  <c r="H8" i="8" s="1"/>
  <c r="M21" i="11"/>
  <c r="O21" i="11" s="1"/>
  <c r="H20" i="15" s="1"/>
  <c r="O20" i="11"/>
  <c r="H19" i="15" s="1"/>
  <c r="G15" i="11"/>
  <c r="O15" i="11" s="1"/>
  <c r="H14" i="15" s="1"/>
  <c r="O12" i="11"/>
  <c r="P14" i="11"/>
  <c r="P22" i="11"/>
  <c r="P24" i="11"/>
  <c r="P32" i="11"/>
  <c r="I18" i="8" s="1"/>
  <c r="P18" i="11"/>
  <c r="P29" i="11"/>
  <c r="P16" i="11"/>
  <c r="P19" i="11"/>
  <c r="P17" i="11"/>
  <c r="P23" i="11"/>
  <c r="P30" i="11"/>
  <c r="P20" i="11"/>
  <c r="P15" i="11"/>
  <c r="P13" i="11"/>
  <c r="P28" i="11"/>
  <c r="P31" i="11"/>
  <c r="P12" i="11"/>
  <c r="P21" i="11"/>
  <c r="P27" i="11"/>
  <c r="P25" i="11"/>
  <c r="P26" i="11"/>
  <c r="F147" i="2" a="1"/>
  <c r="F147" i="2" s="1"/>
  <c r="F135" i="2" a="1"/>
  <c r="F135" i="2" s="1"/>
  <c r="F151" i="2" a="1"/>
  <c r="F151" i="2" s="1"/>
  <c r="F143" i="2" a="1"/>
  <c r="F143" i="2" s="1"/>
  <c r="F229" i="2" a="1"/>
  <c r="F229" i="2" s="1"/>
  <c r="F139" i="2" a="1"/>
  <c r="F139" i="2" s="1"/>
  <c r="F43" i="2" a="1"/>
  <c r="F43" i="2" s="1"/>
  <c r="B20" i="13"/>
  <c r="F45" i="2" a="1"/>
  <c r="F45" i="2" s="1"/>
  <c r="C26" i="13"/>
  <c r="D25" i="13" s="1"/>
  <c r="F145" i="2" a="1"/>
  <c r="F145" i="2" s="1"/>
  <c r="F155" i="2" a="1"/>
  <c r="F155" i="2" s="1"/>
  <c r="F132" i="2" a="1"/>
  <c r="F132" i="2" s="1"/>
  <c r="F148" i="2" a="1"/>
  <c r="F148" i="2" s="1"/>
  <c r="F137" i="2" a="1"/>
  <c r="F137" i="2" s="1"/>
  <c r="F153" i="2" a="1"/>
  <c r="F153" i="2" s="1"/>
  <c r="F42" i="2" a="1"/>
  <c r="F42" i="2" s="1"/>
  <c r="F142" i="2" a="1"/>
  <c r="F142" i="2" s="1"/>
  <c r="F136" i="2" a="1"/>
  <c r="F136" i="2" s="1"/>
  <c r="F152" i="2" a="1"/>
  <c r="F152" i="2" s="1"/>
  <c r="F141" i="2" a="1"/>
  <c r="F141" i="2" s="1"/>
  <c r="F46" i="2" a="1"/>
  <c r="F46" i="2" s="1"/>
  <c r="F146" i="2" a="1"/>
  <c r="F146" i="2" s="1"/>
  <c r="F140" i="2" a="1"/>
  <c r="F140" i="2" s="1"/>
  <c r="F156" i="2" a="1"/>
  <c r="F156" i="2" s="1"/>
  <c r="F134" i="2" a="1"/>
  <c r="F134" i="2" s="1"/>
  <c r="F150" i="2" a="1"/>
  <c r="F150" i="2" s="1"/>
  <c r="F44" i="2" a="1"/>
  <c r="F44" i="2" s="1"/>
  <c r="F144" i="2" a="1"/>
  <c r="F144" i="2" s="1"/>
  <c r="F133" i="2" a="1"/>
  <c r="F133" i="2" s="1"/>
  <c r="F149" i="2" a="1"/>
  <c r="F149" i="2" s="1"/>
  <c r="F138" i="2" a="1"/>
  <c r="F138" i="2" s="1"/>
  <c r="F154" i="2" a="1"/>
  <c r="F154" i="2" s="1"/>
  <c r="D9" i="12"/>
  <c r="Q11" i="9" s="1"/>
  <c r="S11" i="9" s="1"/>
  <c r="E37" i="10"/>
  <c r="G37" i="10" s="1"/>
  <c r="E38" i="10"/>
  <c r="G38" i="10" s="1"/>
  <c r="E39" i="10"/>
  <c r="G39" i="10" s="1"/>
  <c r="E36" i="10"/>
  <c r="G36" i="10" s="1"/>
  <c r="E10" i="10"/>
  <c r="G10" i="10" s="1"/>
  <c r="E25" i="10"/>
  <c r="G25" i="10" s="1"/>
  <c r="E24" i="10"/>
  <c r="G24" i="10" s="1"/>
  <c r="E13" i="10"/>
  <c r="G13" i="10" s="1"/>
  <c r="G11" i="10"/>
  <c r="D11" i="10"/>
  <c r="J15" i="9"/>
  <c r="J12" i="9"/>
  <c r="K11" i="9"/>
  <c r="K10" i="9"/>
  <c r="K9" i="9"/>
  <c r="K8" i="9"/>
  <c r="D10" i="12" l="1"/>
  <c r="Q10" i="11"/>
  <c r="Q17" i="11"/>
  <c r="Q11" i="11"/>
  <c r="Q18" i="11"/>
  <c r="Q19" i="11"/>
  <c r="Q28" i="11"/>
  <c r="Q9" i="11"/>
  <c r="Q8" i="11"/>
  <c r="Q30" i="11"/>
  <c r="C51" i="27"/>
  <c r="Q31" i="11"/>
  <c r="Q25" i="11"/>
  <c r="Q26" i="11"/>
  <c r="Q22" i="11"/>
  <c r="I9" i="15"/>
  <c r="M9" i="15" s="1"/>
  <c r="Q13" i="11"/>
  <c r="Q29" i="11"/>
  <c r="Q23" i="11"/>
  <c r="Q14" i="11"/>
  <c r="Q32" i="11"/>
  <c r="Q16" i="11"/>
  <c r="Q27" i="11"/>
  <c r="Q24" i="11"/>
  <c r="I9" i="8"/>
  <c r="Q15" i="11"/>
  <c r="I8" i="8"/>
  <c r="I17" i="15"/>
  <c r="Q20" i="11"/>
  <c r="I14" i="8"/>
  <c r="Q21" i="11"/>
  <c r="Q12" i="11"/>
  <c r="I17" i="8"/>
  <c r="I10" i="8"/>
  <c r="I15" i="8"/>
  <c r="I11" i="8"/>
  <c r="I12" i="8"/>
  <c r="H15" i="9"/>
  <c r="AA15" i="9" s="1"/>
  <c r="I14" i="9"/>
  <c r="I11" i="9"/>
  <c r="I12" i="15"/>
  <c r="I12" i="9"/>
  <c r="Y12" i="9" s="1"/>
  <c r="I13" i="15"/>
  <c r="I16" i="8"/>
  <c r="I19" i="9"/>
  <c r="I18" i="15"/>
  <c r="H10" i="9"/>
  <c r="H11" i="15"/>
  <c r="H19" i="9"/>
  <c r="H18" i="15"/>
  <c r="H14" i="9"/>
  <c r="M14" i="15"/>
  <c r="N14" i="15"/>
  <c r="H17" i="9"/>
  <c r="H16" i="15"/>
  <c r="H23" i="9"/>
  <c r="AB23" i="9" s="1"/>
  <c r="I16" i="9"/>
  <c r="I15" i="15"/>
  <c r="I20" i="9"/>
  <c r="Y20" i="9" s="1"/>
  <c r="I19" i="15"/>
  <c r="P19" i="15" s="1"/>
  <c r="Q19" i="15" s="1"/>
  <c r="R19" i="15" s="1"/>
  <c r="I9" i="9"/>
  <c r="X9" i="9" s="1"/>
  <c r="I10" i="15"/>
  <c r="I13" i="9"/>
  <c r="I17" i="9"/>
  <c r="I16" i="15"/>
  <c r="I21" i="9"/>
  <c r="I20" i="15"/>
  <c r="I10" i="9"/>
  <c r="I11" i="15"/>
  <c r="I15" i="9"/>
  <c r="I14" i="15"/>
  <c r="H8" i="9"/>
  <c r="AB8" i="9" s="1"/>
  <c r="H12" i="9"/>
  <c r="H13" i="15"/>
  <c r="H16" i="9"/>
  <c r="H15" i="15"/>
  <c r="H18" i="9"/>
  <c r="H17" i="15"/>
  <c r="H9" i="9"/>
  <c r="AB9" i="9" s="1"/>
  <c r="H10" i="15"/>
  <c r="H22" i="9"/>
  <c r="H13" i="9"/>
  <c r="G26" i="10"/>
  <c r="G31" i="10" s="1"/>
  <c r="D21" i="13"/>
  <c r="K49" i="27" s="1"/>
  <c r="D19" i="13"/>
  <c r="D20" i="13"/>
  <c r="K50" i="27" s="1"/>
  <c r="H8" i="13"/>
  <c r="D26" i="13"/>
  <c r="D27" i="13"/>
  <c r="H9" i="13"/>
  <c r="I8" i="9"/>
  <c r="I18" i="9"/>
  <c r="H18" i="8"/>
  <c r="H15" i="8"/>
  <c r="H16" i="8"/>
  <c r="H13" i="8"/>
  <c r="H20" i="9"/>
  <c r="H10" i="8"/>
  <c r="I23" i="9"/>
  <c r="H14" i="8"/>
  <c r="Q17" i="9"/>
  <c r="Q15" i="9"/>
  <c r="T15" i="9" s="1"/>
  <c r="Q18" i="9"/>
  <c r="Q8" i="9"/>
  <c r="S8" i="9" s="1"/>
  <c r="Q13" i="9"/>
  <c r="H21" i="9"/>
  <c r="H9" i="8"/>
  <c r="H11" i="8"/>
  <c r="H11" i="9"/>
  <c r="H12" i="8"/>
  <c r="I13" i="8"/>
  <c r="I22" i="9"/>
  <c r="H17" i="8"/>
  <c r="Q12" i="9"/>
  <c r="T12" i="9" s="1"/>
  <c r="Q22" i="9"/>
  <c r="Q9" i="9"/>
  <c r="S9" i="9" s="1"/>
  <c r="Q20" i="9"/>
  <c r="Q23" i="9"/>
  <c r="Q10" i="9"/>
  <c r="S10" i="9" s="1"/>
  <c r="Q21" i="9"/>
  <c r="S21" i="9" s="1"/>
  <c r="Q16" i="9"/>
  <c r="T16" i="9" s="1"/>
  <c r="Q14" i="9"/>
  <c r="Q19" i="9"/>
  <c r="R11" i="9"/>
  <c r="U11" i="9" s="1"/>
  <c r="R15" i="9"/>
  <c r="V15" i="9" s="1"/>
  <c r="R19" i="9"/>
  <c r="R23" i="9"/>
  <c r="R10" i="9"/>
  <c r="U10" i="9" s="1"/>
  <c r="R22" i="9"/>
  <c r="R12" i="9"/>
  <c r="V12" i="9" s="1"/>
  <c r="R16" i="9"/>
  <c r="V16" i="9" s="1"/>
  <c r="R20" i="9"/>
  <c r="R8" i="9"/>
  <c r="U8" i="9" s="1"/>
  <c r="R14" i="9"/>
  <c r="V14" i="9" s="1"/>
  <c r="R9" i="9"/>
  <c r="U9" i="9" s="1"/>
  <c r="R13" i="9"/>
  <c r="R17" i="9"/>
  <c r="R21" i="9"/>
  <c r="U21" i="9" s="1"/>
  <c r="R18" i="9"/>
  <c r="G40" i="10"/>
  <c r="H20" i="13" s="1"/>
  <c r="G14" i="10"/>
  <c r="G19" i="10" s="1"/>
  <c r="C37" i="11" l="1"/>
  <c r="R25" i="11" s="1"/>
  <c r="S25" i="11" s="1"/>
  <c r="G40" i="22"/>
  <c r="H40" i="22" s="1"/>
  <c r="I40" i="22" s="1"/>
  <c r="C39" i="27" s="1"/>
  <c r="G44" i="22"/>
  <c r="H44" i="22" s="1"/>
  <c r="I44" i="22" s="1"/>
  <c r="G48" i="22"/>
  <c r="H48" i="22" s="1"/>
  <c r="I48" i="22" s="1"/>
  <c r="E52" i="17" s="1"/>
  <c r="I52" i="17" s="1" a="1"/>
  <c r="I52" i="17" s="1"/>
  <c r="G52" i="22"/>
  <c r="H52" i="22" s="1"/>
  <c r="I52" i="22" s="1"/>
  <c r="E78" i="17" s="1"/>
  <c r="I78" i="17" s="1" a="1"/>
  <c r="I78" i="17" s="1"/>
  <c r="G41" i="22"/>
  <c r="H41" i="22" s="1"/>
  <c r="I41" i="22" s="1"/>
  <c r="C40" i="27" s="1"/>
  <c r="G45" i="22"/>
  <c r="H45" i="22" s="1"/>
  <c r="I45" i="22" s="1"/>
  <c r="G49" i="22"/>
  <c r="H49" i="22" s="1"/>
  <c r="I49" i="22" s="1"/>
  <c r="G53" i="22"/>
  <c r="H53" i="22" s="1"/>
  <c r="I53" i="22" s="1"/>
  <c r="E79" i="17" s="1"/>
  <c r="I79" i="17" s="1" a="1"/>
  <c r="I79" i="17" s="1"/>
  <c r="G57" i="22"/>
  <c r="H57" i="22" s="1"/>
  <c r="I57" i="22" s="1"/>
  <c r="E108" i="17" s="1"/>
  <c r="I108" i="17" s="1" a="1"/>
  <c r="I108" i="17" s="1"/>
  <c r="G38" i="22"/>
  <c r="H38" i="22" s="1"/>
  <c r="I38" i="22" s="1"/>
  <c r="G42" i="22"/>
  <c r="H42" i="22" s="1"/>
  <c r="I42" i="22" s="1"/>
  <c r="C15" i="27" s="1"/>
  <c r="G46" i="22"/>
  <c r="H46" i="22" s="1"/>
  <c r="I46" i="22" s="1"/>
  <c r="K16" i="27" s="1"/>
  <c r="G54" i="22"/>
  <c r="H54" i="22" s="1"/>
  <c r="I54" i="22" s="1"/>
  <c r="K12" i="27" s="1"/>
  <c r="G39" i="22"/>
  <c r="H39" i="22" s="1"/>
  <c r="I39" i="22" s="1"/>
  <c r="G43" i="22"/>
  <c r="H43" i="22" s="1"/>
  <c r="I43" i="22" s="1"/>
  <c r="G47" i="22"/>
  <c r="H47" i="22" s="1"/>
  <c r="I47" i="22" s="1"/>
  <c r="G51" i="22"/>
  <c r="H51" i="22" s="1"/>
  <c r="I51" i="22" s="1"/>
  <c r="E67" i="17" s="1"/>
  <c r="I67" i="17" s="1" a="1"/>
  <c r="I67" i="17" s="1"/>
  <c r="G55" i="22"/>
  <c r="H55" i="22" s="1"/>
  <c r="I55" i="22" s="1"/>
  <c r="E96" i="17" s="1"/>
  <c r="I96" i="17" s="1" a="1"/>
  <c r="I96" i="17" s="1"/>
  <c r="G10" i="22"/>
  <c r="H10" i="22" s="1"/>
  <c r="I10" i="22" s="1"/>
  <c r="G14" i="22"/>
  <c r="H14" i="22" s="1"/>
  <c r="I14" i="22" s="1"/>
  <c r="G18" i="22"/>
  <c r="H18" i="22" s="1"/>
  <c r="I18" i="22" s="1"/>
  <c r="N16" i="27" s="1"/>
  <c r="G22" i="22"/>
  <c r="H22" i="22" s="1"/>
  <c r="I22" i="22" s="1"/>
  <c r="G26" i="22"/>
  <c r="H26" i="22" s="1"/>
  <c r="I26" i="22" s="1"/>
  <c r="G30" i="22"/>
  <c r="H30" i="22" s="1"/>
  <c r="I30" i="22" s="1"/>
  <c r="N12" i="27" s="1"/>
  <c r="G34" i="22"/>
  <c r="H34" i="22" s="1"/>
  <c r="I34" i="22" s="1"/>
  <c r="G56" i="22"/>
  <c r="H56" i="22" s="1"/>
  <c r="I56" i="22" s="1"/>
  <c r="E100" i="17" s="1"/>
  <c r="I100" i="17" s="1" a="1"/>
  <c r="I100" i="17" s="1"/>
  <c r="C36" i="11"/>
  <c r="R15" i="11" s="1"/>
  <c r="G11" i="22"/>
  <c r="H11" i="22" s="1"/>
  <c r="I11" i="22" s="1"/>
  <c r="F14" i="27" s="1"/>
  <c r="G15" i="22"/>
  <c r="H15" i="22" s="1"/>
  <c r="I15" i="22" s="1"/>
  <c r="N13" i="27" s="1"/>
  <c r="G19" i="22"/>
  <c r="H19" i="22" s="1"/>
  <c r="I19" i="22" s="1"/>
  <c r="G23" i="22"/>
  <c r="H23" i="22" s="1"/>
  <c r="I23" i="22" s="1"/>
  <c r="G27" i="22"/>
  <c r="H27" i="22" s="1"/>
  <c r="I27" i="22" s="1"/>
  <c r="E72" i="17" s="1"/>
  <c r="I72" i="17" s="1" a="1"/>
  <c r="I72" i="17" s="1"/>
  <c r="G31" i="22"/>
  <c r="H31" i="22" s="1"/>
  <c r="I31" i="22" s="1"/>
  <c r="G35" i="22"/>
  <c r="H35" i="22" s="1"/>
  <c r="I35" i="22" s="1"/>
  <c r="G12" i="22"/>
  <c r="H12" i="22" s="1"/>
  <c r="I12" i="22" s="1"/>
  <c r="F15" i="27" s="1"/>
  <c r="G16" i="22"/>
  <c r="H16" i="22" s="1"/>
  <c r="I16" i="22" s="1"/>
  <c r="N14" i="27" s="1"/>
  <c r="G20" i="22"/>
  <c r="H20" i="22" s="1"/>
  <c r="I20" i="22" s="1"/>
  <c r="G24" i="22"/>
  <c r="H24" i="22" s="1"/>
  <c r="I24" i="22" s="1"/>
  <c r="G28" i="22"/>
  <c r="H28" i="22" s="1"/>
  <c r="I28" i="22" s="1"/>
  <c r="G32" i="22"/>
  <c r="H32" i="22" s="1"/>
  <c r="I32" i="22" s="1"/>
  <c r="G50" i="22"/>
  <c r="H50" i="22" s="1"/>
  <c r="I50" i="22" s="1"/>
  <c r="E63" i="17" s="1"/>
  <c r="I63" i="17" s="1" a="1"/>
  <c r="I63" i="17" s="1"/>
  <c r="G9" i="22"/>
  <c r="H9" i="22" s="1"/>
  <c r="I9" i="22" s="1"/>
  <c r="F12" i="27" s="1"/>
  <c r="G13" i="22"/>
  <c r="H13" i="22" s="1"/>
  <c r="I13" i="22" s="1"/>
  <c r="G17" i="22"/>
  <c r="H17" i="22" s="1"/>
  <c r="I17" i="22" s="1"/>
  <c r="N15" i="27" s="1"/>
  <c r="G21" i="22"/>
  <c r="H21" i="22" s="1"/>
  <c r="I21" i="22" s="1"/>
  <c r="G25" i="22"/>
  <c r="H25" i="22" s="1"/>
  <c r="I25" i="22" s="1"/>
  <c r="G29" i="22"/>
  <c r="H29" i="22" s="1"/>
  <c r="I29" i="22" s="1"/>
  <c r="G33" i="22"/>
  <c r="H33" i="22" s="1"/>
  <c r="I33" i="22" s="1"/>
  <c r="E103" i="17" s="1"/>
  <c r="I103" i="17" s="1" a="1"/>
  <c r="I103" i="17" s="1"/>
  <c r="R20" i="11"/>
  <c r="S20" i="11" s="1"/>
  <c r="R12" i="11"/>
  <c r="R24" i="11"/>
  <c r="S24" i="11" s="1"/>
  <c r="R31" i="11"/>
  <c r="S31" i="11" s="1"/>
  <c r="B125" i="5" s="1"/>
  <c r="R9" i="11"/>
  <c r="S9" i="11" s="1"/>
  <c r="R11" i="11"/>
  <c r="S11" i="11" s="1"/>
  <c r="R32" i="11"/>
  <c r="S32" i="11" s="1"/>
  <c r="R14" i="11"/>
  <c r="R22" i="11"/>
  <c r="S22" i="11" s="1"/>
  <c r="R28" i="11"/>
  <c r="S28" i="11" s="1"/>
  <c r="R17" i="11"/>
  <c r="R23" i="11"/>
  <c r="S23" i="11" s="1"/>
  <c r="R29" i="11"/>
  <c r="S29" i="11" s="1"/>
  <c r="R26" i="11"/>
  <c r="S26" i="11" s="1"/>
  <c r="R30" i="11"/>
  <c r="R19" i="11"/>
  <c r="S19" i="11" s="1"/>
  <c r="R10" i="11"/>
  <c r="S10" i="11" s="1"/>
  <c r="B96" i="5"/>
  <c r="C96" i="5" s="1"/>
  <c r="D123" i="18" s="1"/>
  <c r="N9" i="15"/>
  <c r="O9" i="15" s="1"/>
  <c r="P9" i="15" s="1"/>
  <c r="Q9" i="15" s="1"/>
  <c r="R9" i="15" s="1"/>
  <c r="B108" i="5"/>
  <c r="B78" i="5"/>
  <c r="K51" i="27"/>
  <c r="E31" i="13"/>
  <c r="E33" i="13"/>
  <c r="B101" i="5" s="1"/>
  <c r="E30" i="13"/>
  <c r="B51" i="5" s="1"/>
  <c r="E32" i="13"/>
  <c r="B99" i="5" s="1"/>
  <c r="T14" i="9"/>
  <c r="AG14" i="9" s="1"/>
  <c r="D14" i="7" s="1"/>
  <c r="AB15" i="9"/>
  <c r="AC15" i="9" s="1"/>
  <c r="AE15" i="9" s="1"/>
  <c r="AG15" i="9" s="1"/>
  <c r="P18" i="15"/>
  <c r="Q18" i="15" s="1"/>
  <c r="R18" i="15" s="1"/>
  <c r="O8" i="9"/>
  <c r="Y23" i="9"/>
  <c r="N23" i="9"/>
  <c r="P23" i="9"/>
  <c r="N18" i="9"/>
  <c r="P18" i="9"/>
  <c r="M22" i="9"/>
  <c r="O22" i="9"/>
  <c r="M18" i="9"/>
  <c r="O18" i="9"/>
  <c r="M12" i="9"/>
  <c r="O12" i="9"/>
  <c r="Y15" i="9"/>
  <c r="N15" i="9"/>
  <c r="P15" i="9"/>
  <c r="Y21" i="9"/>
  <c r="N21" i="9"/>
  <c r="P21" i="9"/>
  <c r="Y13" i="9"/>
  <c r="N13" i="9"/>
  <c r="P13" i="9"/>
  <c r="N9" i="9"/>
  <c r="P9" i="9"/>
  <c r="N16" i="9"/>
  <c r="P16" i="9"/>
  <c r="AA17" i="9"/>
  <c r="M17" i="9"/>
  <c r="O17" i="9"/>
  <c r="M14" i="9"/>
  <c r="O14" i="9"/>
  <c r="M10" i="9"/>
  <c r="O10" i="9"/>
  <c r="Y11" i="9"/>
  <c r="N11" i="9"/>
  <c r="P11" i="9"/>
  <c r="M11" i="9"/>
  <c r="O11" i="9"/>
  <c r="P8" i="9"/>
  <c r="N8" i="9"/>
  <c r="M13" i="9"/>
  <c r="O13" i="9"/>
  <c r="M9" i="9"/>
  <c r="O9" i="9"/>
  <c r="M16" i="9"/>
  <c r="O16" i="9"/>
  <c r="AA8" i="9"/>
  <c r="AC8" i="9" s="1"/>
  <c r="AE8" i="9" s="1"/>
  <c r="M8" i="9"/>
  <c r="Y10" i="9"/>
  <c r="N10" i="9"/>
  <c r="P10" i="9"/>
  <c r="Y17" i="9"/>
  <c r="N17" i="9"/>
  <c r="P17" i="9"/>
  <c r="X20" i="9"/>
  <c r="Z20" i="9" s="1"/>
  <c r="AD20" i="9" s="1"/>
  <c r="N20" i="9"/>
  <c r="P20" i="9"/>
  <c r="AA23" i="9"/>
  <c r="AC23" i="9" s="1"/>
  <c r="AE23" i="9" s="1"/>
  <c r="M23" i="9"/>
  <c r="O23" i="9"/>
  <c r="M19" i="9"/>
  <c r="O19" i="9"/>
  <c r="Y19" i="9"/>
  <c r="N19" i="9"/>
  <c r="P19" i="9"/>
  <c r="N12" i="9"/>
  <c r="P12" i="9"/>
  <c r="Y14" i="9"/>
  <c r="N14" i="9"/>
  <c r="P14" i="9"/>
  <c r="N22" i="9"/>
  <c r="P22" i="9"/>
  <c r="M21" i="9"/>
  <c r="O21" i="9"/>
  <c r="AB20" i="9"/>
  <c r="M20" i="9"/>
  <c r="O20" i="9"/>
  <c r="M15" i="9"/>
  <c r="O15" i="9"/>
  <c r="X14" i="9"/>
  <c r="X19" i="9"/>
  <c r="AB13" i="9"/>
  <c r="AA10" i="9"/>
  <c r="X13" i="9"/>
  <c r="X21" i="9"/>
  <c r="Y16" i="9"/>
  <c r="AB17" i="9"/>
  <c r="Y9" i="9"/>
  <c r="Z9" i="9" s="1"/>
  <c r="AD9" i="9" s="1"/>
  <c r="AF9" i="9" s="1"/>
  <c r="AB22" i="9"/>
  <c r="AA12" i="9"/>
  <c r="AA13" i="9"/>
  <c r="AA16" i="9"/>
  <c r="X17" i="9"/>
  <c r="AA14" i="9"/>
  <c r="AB18" i="9"/>
  <c r="X16" i="9"/>
  <c r="X15" i="9"/>
  <c r="X11" i="9"/>
  <c r="X12" i="9"/>
  <c r="Z12" i="9" s="1"/>
  <c r="AD12" i="9" s="1"/>
  <c r="AB16" i="9"/>
  <c r="AA9" i="9"/>
  <c r="AC9" i="9" s="1"/>
  <c r="AE9" i="9" s="1"/>
  <c r="X10" i="9"/>
  <c r="AA22" i="9"/>
  <c r="AB12" i="9"/>
  <c r="AB10" i="9"/>
  <c r="AB14" i="9"/>
  <c r="AA18" i="9"/>
  <c r="O14" i="15"/>
  <c r="P14" i="15" s="1"/>
  <c r="Q14" i="15" s="1"/>
  <c r="R14" i="15" s="1"/>
  <c r="H28" i="13"/>
  <c r="E8" i="13" s="1"/>
  <c r="H27" i="13"/>
  <c r="H24" i="13"/>
  <c r="E26" i="13" s="1"/>
  <c r="B48" i="5" s="1"/>
  <c r="M12" i="15"/>
  <c r="N12" i="15"/>
  <c r="H25" i="13"/>
  <c r="E14" i="13" s="1"/>
  <c r="B69" i="5" s="1"/>
  <c r="M15" i="15"/>
  <c r="N15" i="15"/>
  <c r="N11" i="15"/>
  <c r="M11" i="15"/>
  <c r="P17" i="15"/>
  <c r="Q17" i="15" s="1"/>
  <c r="R17" i="15" s="1"/>
  <c r="M13" i="15"/>
  <c r="N13" i="15"/>
  <c r="N20" i="15"/>
  <c r="M20" i="15"/>
  <c r="M10" i="15"/>
  <c r="N10" i="15"/>
  <c r="M16" i="15"/>
  <c r="N16" i="15"/>
  <c r="Y18" i="9"/>
  <c r="H21" i="13"/>
  <c r="H22" i="13" s="1"/>
  <c r="X8" i="9"/>
  <c r="Y8" i="9"/>
  <c r="X18" i="9"/>
  <c r="AA20" i="9"/>
  <c r="X23" i="9"/>
  <c r="AB21" i="9"/>
  <c r="AA21" i="9"/>
  <c r="Y22" i="9"/>
  <c r="X22" i="9"/>
  <c r="AB11" i="9"/>
  <c r="AA11" i="9"/>
  <c r="AA19" i="9"/>
  <c r="AB19" i="9"/>
  <c r="E9" i="7" l="1"/>
  <c r="D15" i="7"/>
  <c r="B128" i="5"/>
  <c r="D128" i="5" s="1"/>
  <c r="R27" i="11"/>
  <c r="B53" i="5"/>
  <c r="B79" i="5"/>
  <c r="D79" i="5" s="1"/>
  <c r="B24" i="5"/>
  <c r="B68" i="5"/>
  <c r="B88" i="5"/>
  <c r="B21" i="5"/>
  <c r="B57" i="5"/>
  <c r="B85" i="5"/>
  <c r="B18" i="5"/>
  <c r="B46" i="5"/>
  <c r="B74" i="5"/>
  <c r="B98" i="5"/>
  <c r="B35" i="5"/>
  <c r="B75" i="5"/>
  <c r="B32" i="5"/>
  <c r="B72" i="5"/>
  <c r="B92" i="5"/>
  <c r="B25" i="5"/>
  <c r="B65" i="5"/>
  <c r="B93" i="5"/>
  <c r="B22" i="5"/>
  <c r="B50" i="5"/>
  <c r="B86" i="5"/>
  <c r="B106" i="5"/>
  <c r="B47" i="5"/>
  <c r="B87" i="5"/>
  <c r="B107" i="5"/>
  <c r="B44" i="5"/>
  <c r="B76" i="5"/>
  <c r="B100" i="5"/>
  <c r="B33" i="5"/>
  <c r="B73" i="5"/>
  <c r="B26" i="5"/>
  <c r="B58" i="5"/>
  <c r="B90" i="5"/>
  <c r="B15" i="5"/>
  <c r="B59" i="5"/>
  <c r="B91" i="5"/>
  <c r="B12" i="5"/>
  <c r="B60" i="5"/>
  <c r="B84" i="5"/>
  <c r="B17" i="5"/>
  <c r="B45" i="5"/>
  <c r="B77" i="5"/>
  <c r="B105" i="5"/>
  <c r="B34" i="5"/>
  <c r="B62" i="5"/>
  <c r="B94" i="5"/>
  <c r="B23" i="5"/>
  <c r="B67" i="5"/>
  <c r="B95" i="5"/>
  <c r="F13" i="27"/>
  <c r="E17" i="17"/>
  <c r="I17" i="17" s="1" a="1"/>
  <c r="I17" i="17" s="1"/>
  <c r="R21" i="11"/>
  <c r="K13" i="27"/>
  <c r="K38" i="27"/>
  <c r="R18" i="11"/>
  <c r="S18" i="11" s="1"/>
  <c r="B16" i="5" s="1"/>
  <c r="F29" i="27"/>
  <c r="R16" i="11"/>
  <c r="C38" i="27"/>
  <c r="C41" i="27" s="1"/>
  <c r="C12" i="27"/>
  <c r="K15" i="27"/>
  <c r="K40" i="27"/>
  <c r="K39" i="27"/>
  <c r="K14" i="27"/>
  <c r="R8" i="11"/>
  <c r="C14" i="27"/>
  <c r="C13" i="27"/>
  <c r="N32" i="27"/>
  <c r="R13" i="11"/>
  <c r="D96" i="5"/>
  <c r="H96" i="5" s="1" a="1"/>
  <c r="H96" i="5" s="1"/>
  <c r="AC20" i="9"/>
  <c r="AE20" i="9" s="1"/>
  <c r="F16" i="24"/>
  <c r="G16" i="24" s="1"/>
  <c r="Z15" i="9"/>
  <c r="AD15" i="9" s="1"/>
  <c r="C78" i="5"/>
  <c r="D175" i="18" s="1"/>
  <c r="D78" i="5"/>
  <c r="D108" i="5"/>
  <c r="C108" i="5"/>
  <c r="D178" i="18" s="1"/>
  <c r="E64" i="18"/>
  <c r="C125" i="5"/>
  <c r="D125" i="5"/>
  <c r="E73" i="18"/>
  <c r="E61" i="18"/>
  <c r="E63" i="18"/>
  <c r="E62" i="18"/>
  <c r="F17" i="24"/>
  <c r="G17" i="24" s="1"/>
  <c r="Z23" i="9"/>
  <c r="AD23" i="9" s="1"/>
  <c r="B27" i="23"/>
  <c r="C27" i="23" s="1"/>
  <c r="E99" i="17" s="1"/>
  <c r="I99" i="17" s="1" a="1"/>
  <c r="I99" i="17" s="1"/>
  <c r="B25" i="23"/>
  <c r="C25" i="23" s="1"/>
  <c r="E51" i="17" s="1"/>
  <c r="I51" i="17" s="1" a="1"/>
  <c r="I51" i="17" s="1"/>
  <c r="B28" i="23"/>
  <c r="C28" i="23" s="1"/>
  <c r="E101" i="17" s="1"/>
  <c r="I101" i="17" s="1" a="1"/>
  <c r="I101" i="17" s="1"/>
  <c r="B13" i="23"/>
  <c r="C13" i="23" s="1"/>
  <c r="E69" i="17" s="1"/>
  <c r="I69" i="17" s="1" a="1"/>
  <c r="I69" i="17" s="1"/>
  <c r="B26" i="23"/>
  <c r="C26" i="23" s="1"/>
  <c r="E53" i="17" s="1"/>
  <c r="I53" i="17" s="1" a="1"/>
  <c r="I53" i="17" s="1"/>
  <c r="B120" i="5"/>
  <c r="B11" i="24"/>
  <c r="C11" i="24" s="1"/>
  <c r="E30" i="17" s="1"/>
  <c r="I30" i="17" s="1" a="1"/>
  <c r="I30" i="17" s="1"/>
  <c r="B12" i="24"/>
  <c r="C12" i="24" s="1"/>
  <c r="E31" i="17" s="1"/>
  <c r="I31" i="17" s="1" a="1"/>
  <c r="I31" i="17" s="1"/>
  <c r="B28" i="24"/>
  <c r="C28" i="24" s="1"/>
  <c r="E97" i="17" s="1"/>
  <c r="I97" i="17" s="1" a="1"/>
  <c r="I97" i="17" s="1"/>
  <c r="B16" i="24"/>
  <c r="C16" i="24" s="1"/>
  <c r="S15" i="11"/>
  <c r="B31" i="5" s="1"/>
  <c r="S30" i="11"/>
  <c r="S14" i="11"/>
  <c r="B103" i="5" s="1"/>
  <c r="S13" i="11"/>
  <c r="S27" i="11"/>
  <c r="U15" i="9"/>
  <c r="W15" i="9" s="1"/>
  <c r="AH15" i="9" s="1"/>
  <c r="E25" i="13"/>
  <c r="B66" i="5" s="1"/>
  <c r="E27" i="13"/>
  <c r="B89" i="5" s="1"/>
  <c r="B9" i="5"/>
  <c r="E9" i="13"/>
  <c r="B10" i="5" s="1"/>
  <c r="AC13" i="9"/>
  <c r="AE13" i="9" s="1"/>
  <c r="V11" i="9"/>
  <c r="W11" i="9" s="1"/>
  <c r="AH11" i="9" s="1"/>
  <c r="S18" i="9"/>
  <c r="AF18" i="9" s="1"/>
  <c r="Z14" i="9"/>
  <c r="AD14" i="9" s="1"/>
  <c r="Z21" i="9"/>
  <c r="AD21" i="9" s="1"/>
  <c r="AF21" i="9" s="1"/>
  <c r="E21" i="7" s="1"/>
  <c r="U22" i="9"/>
  <c r="AC17" i="9"/>
  <c r="AE17" i="9" s="1"/>
  <c r="AG17" i="9" s="1"/>
  <c r="Z13" i="9"/>
  <c r="AD13" i="9" s="1"/>
  <c r="U13" i="9"/>
  <c r="U14" i="9"/>
  <c r="W14" i="9" s="1"/>
  <c r="AH14" i="9" s="1"/>
  <c r="S20" i="9"/>
  <c r="AF20" i="9" s="1"/>
  <c r="U23" i="9"/>
  <c r="S16" i="9"/>
  <c r="AF16" i="9" s="1"/>
  <c r="T8" i="9"/>
  <c r="AG8" i="9" s="1"/>
  <c r="S12" i="9"/>
  <c r="AF12" i="9" s="1"/>
  <c r="T18" i="9"/>
  <c r="AG18" i="9" s="1"/>
  <c r="T11" i="9"/>
  <c r="AG11" i="9" s="1"/>
  <c r="S22" i="9"/>
  <c r="AF22" i="9" s="1"/>
  <c r="T23" i="9"/>
  <c r="AG23" i="9" s="1"/>
  <c r="U16" i="9"/>
  <c r="W16" i="9" s="1"/>
  <c r="AH16" i="9" s="1"/>
  <c r="S13" i="9"/>
  <c r="AF13" i="9" s="1"/>
  <c r="S15" i="9"/>
  <c r="AF15" i="9" s="1"/>
  <c r="T22" i="9"/>
  <c r="AG22" i="9" s="1"/>
  <c r="S19" i="9"/>
  <c r="AF19" i="9" s="1"/>
  <c r="T17" i="9"/>
  <c r="T13" i="9"/>
  <c r="AG13" i="9" s="1"/>
  <c r="D13" i="7" s="1"/>
  <c r="T21" i="9"/>
  <c r="AG21" i="9" s="1"/>
  <c r="T20" i="9"/>
  <c r="AG20" i="9" s="1"/>
  <c r="D11" i="7"/>
  <c r="T19" i="9"/>
  <c r="AG19" i="9" s="1"/>
  <c r="Z10" i="9"/>
  <c r="AD10" i="9" s="1"/>
  <c r="AF10" i="9" s="1"/>
  <c r="Z17" i="9"/>
  <c r="AD17" i="9" s="1"/>
  <c r="S23" i="9"/>
  <c r="AF23" i="9" s="1"/>
  <c r="AC22" i="9"/>
  <c r="AE22" i="9" s="1"/>
  <c r="Z11" i="9"/>
  <c r="AD11" i="9" s="1"/>
  <c r="AF11" i="9" s="1"/>
  <c r="Z19" i="9"/>
  <c r="AD19" i="9" s="1"/>
  <c r="T10" i="9"/>
  <c r="AG10" i="9" s="1"/>
  <c r="S14" i="9"/>
  <c r="AF14" i="9" s="1"/>
  <c r="T9" i="9"/>
  <c r="AG9" i="9" s="1"/>
  <c r="S17" i="9"/>
  <c r="AF17" i="9" s="1"/>
  <c r="V10" i="9"/>
  <c r="W10" i="9" s="1"/>
  <c r="AH10" i="9" s="1"/>
  <c r="V21" i="9"/>
  <c r="W21" i="9" s="1"/>
  <c r="AH21" i="9" s="1"/>
  <c r="G21" i="7" s="1"/>
  <c r="E69" i="18"/>
  <c r="E10" i="18"/>
  <c r="E29" i="18"/>
  <c r="E178" i="18"/>
  <c r="E175" i="18"/>
  <c r="E75" i="18"/>
  <c r="E120" i="18"/>
  <c r="E113" i="18"/>
  <c r="E13" i="18"/>
  <c r="E14" i="18"/>
  <c r="AC10" i="9"/>
  <c r="AE10" i="9" s="1"/>
  <c r="Z16" i="9"/>
  <c r="AD16" i="9" s="1"/>
  <c r="V20" i="9"/>
  <c r="V13" i="9"/>
  <c r="AC12" i="9"/>
  <c r="AE12" i="9" s="1"/>
  <c r="AG12" i="9" s="1"/>
  <c r="AC14" i="9"/>
  <c r="AE14" i="9" s="1"/>
  <c r="AC16" i="9"/>
  <c r="AE16" i="9" s="1"/>
  <c r="AG16" i="9" s="1"/>
  <c r="E19" i="13"/>
  <c r="B39" i="5" s="1"/>
  <c r="AC18" i="9"/>
  <c r="AE18" i="9" s="1"/>
  <c r="E17" i="13"/>
  <c r="B29" i="5" s="1"/>
  <c r="V19" i="9"/>
  <c r="V9" i="9"/>
  <c r="W9" i="9" s="1"/>
  <c r="AH9" i="9" s="1"/>
  <c r="V17" i="9"/>
  <c r="U17" i="9"/>
  <c r="U18" i="9"/>
  <c r="O11" i="15"/>
  <c r="P11" i="15" s="1"/>
  <c r="Q11" i="15" s="1"/>
  <c r="R11" i="15" s="1"/>
  <c r="O16" i="15"/>
  <c r="P16" i="15" s="1"/>
  <c r="Q16" i="15" s="1"/>
  <c r="R16" i="15" s="1"/>
  <c r="B21" i="24" s="1"/>
  <c r="U12" i="9"/>
  <c r="W12" i="9" s="1"/>
  <c r="AH12" i="9" s="1"/>
  <c r="O20" i="15"/>
  <c r="P20" i="15" s="1"/>
  <c r="Q20" i="15" s="1"/>
  <c r="R20" i="15" s="1"/>
  <c r="O15" i="15"/>
  <c r="P15" i="15" s="1"/>
  <c r="Q15" i="15" s="1"/>
  <c r="R15" i="15" s="1"/>
  <c r="O12" i="15"/>
  <c r="P12" i="15" s="1"/>
  <c r="Q12" i="15" s="1"/>
  <c r="R12" i="15" s="1"/>
  <c r="E23" i="13"/>
  <c r="B80" i="5" s="1"/>
  <c r="O10" i="15"/>
  <c r="P10" i="15" s="1"/>
  <c r="Q10" i="15" s="1"/>
  <c r="R10" i="15" s="1"/>
  <c r="O13" i="15"/>
  <c r="P13" i="15" s="1"/>
  <c r="Q13" i="15" s="1"/>
  <c r="R13" i="15" s="1"/>
  <c r="E12" i="13"/>
  <c r="B14" i="5" s="1"/>
  <c r="Z18" i="9"/>
  <c r="AD18" i="9" s="1"/>
  <c r="V8" i="9"/>
  <c r="W8" i="9" s="1"/>
  <c r="AH8" i="9" s="1"/>
  <c r="Z8" i="9"/>
  <c r="AD8" i="9" s="1"/>
  <c r="AF8" i="9" s="1"/>
  <c r="V18" i="9"/>
  <c r="V23" i="9"/>
  <c r="U20" i="9"/>
  <c r="AC19" i="9"/>
  <c r="AE19" i="9" s="1"/>
  <c r="AC21" i="9"/>
  <c r="AE21" i="9" s="1"/>
  <c r="U19" i="9"/>
  <c r="V22" i="9"/>
  <c r="AC11" i="9"/>
  <c r="AE11" i="9" s="1"/>
  <c r="Z22" i="9"/>
  <c r="AD22" i="9" s="1"/>
  <c r="D8" i="7" l="1"/>
  <c r="G8" i="7"/>
  <c r="G12" i="7"/>
  <c r="G9" i="7"/>
  <c r="D16" i="7"/>
  <c r="D12" i="7"/>
  <c r="G10" i="7"/>
  <c r="E17" i="7"/>
  <c r="E14" i="7"/>
  <c r="E11" i="7"/>
  <c r="J16" i="8"/>
  <c r="E10" i="7"/>
  <c r="D19" i="7"/>
  <c r="D20" i="7"/>
  <c r="E19" i="7"/>
  <c r="K13" i="8"/>
  <c r="E15" i="7"/>
  <c r="E13" i="7"/>
  <c r="G16" i="7"/>
  <c r="K16" i="8"/>
  <c r="E22" i="7"/>
  <c r="D18" i="7"/>
  <c r="E16" i="7"/>
  <c r="E20" i="7"/>
  <c r="G14" i="7"/>
  <c r="D17" i="7"/>
  <c r="E18" i="7"/>
  <c r="G11" i="7"/>
  <c r="G15" i="7"/>
  <c r="C79" i="5"/>
  <c r="D120" i="18" s="1"/>
  <c r="C128" i="5"/>
  <c r="K31" i="27"/>
  <c r="C95" i="5"/>
  <c r="D99" i="18" s="1"/>
  <c r="D95" i="5"/>
  <c r="C62" i="5"/>
  <c r="D155" i="18" s="1"/>
  <c r="D62" i="5"/>
  <c r="F41" i="27"/>
  <c r="K41" i="27"/>
  <c r="N41" i="27" s="1"/>
  <c r="D94" i="5"/>
  <c r="C94" i="5"/>
  <c r="D140" i="18" s="1"/>
  <c r="C77" i="5"/>
  <c r="D52" i="18" s="1"/>
  <c r="D77" i="5"/>
  <c r="C60" i="5"/>
  <c r="D153" i="18" s="1"/>
  <c r="D60" i="5"/>
  <c r="C15" i="5"/>
  <c r="D15" i="18" s="1"/>
  <c r="D15" i="5"/>
  <c r="C73" i="5"/>
  <c r="D51" i="18" s="1"/>
  <c r="D73" i="5"/>
  <c r="C106" i="5"/>
  <c r="D202" i="18" s="1"/>
  <c r="D106" i="5"/>
  <c r="D93" i="5"/>
  <c r="C93" i="5"/>
  <c r="D161" i="18" s="1"/>
  <c r="D72" i="5"/>
  <c r="C72" i="5"/>
  <c r="D157" i="18" s="1"/>
  <c r="C98" i="5"/>
  <c r="D125" i="18" s="1"/>
  <c r="D98" i="5"/>
  <c r="D85" i="5"/>
  <c r="C85" i="5"/>
  <c r="D122" i="18" s="1"/>
  <c r="C68" i="5"/>
  <c r="D156" i="18" s="1"/>
  <c r="D68" i="5"/>
  <c r="D12" i="5"/>
  <c r="C12" i="5"/>
  <c r="C90" i="5"/>
  <c r="D160" i="18" s="1"/>
  <c r="D90" i="5"/>
  <c r="C33" i="5"/>
  <c r="D47" i="18" s="1"/>
  <c r="D33" i="5"/>
  <c r="C107" i="5"/>
  <c r="D164" i="18" s="1"/>
  <c r="D107" i="5"/>
  <c r="D65" i="5"/>
  <c r="C65" i="5"/>
  <c r="D191" i="18" s="1"/>
  <c r="D32" i="5"/>
  <c r="C32" i="5"/>
  <c r="D46" i="18" s="1"/>
  <c r="D74" i="5"/>
  <c r="C74" i="5"/>
  <c r="D96" i="18" s="1"/>
  <c r="C57" i="5"/>
  <c r="D117" i="18" s="1"/>
  <c r="D57" i="5"/>
  <c r="C24" i="5"/>
  <c r="D23" i="18" s="1"/>
  <c r="D24" i="5"/>
  <c r="H108" i="5" a="1"/>
  <c r="H108" i="5" s="1"/>
  <c r="S8" i="11"/>
  <c r="B42" i="5" s="1"/>
  <c r="D67" i="5"/>
  <c r="C67" i="5"/>
  <c r="D135" i="18" s="1"/>
  <c r="C34" i="5"/>
  <c r="D48" i="18" s="1"/>
  <c r="D34" i="5"/>
  <c r="D17" i="5"/>
  <c r="C17" i="5"/>
  <c r="D17" i="18" s="1"/>
  <c r="C91" i="5"/>
  <c r="D139" i="18" s="1"/>
  <c r="D91" i="5"/>
  <c r="D58" i="5"/>
  <c r="C58" i="5"/>
  <c r="D118" i="18" s="1"/>
  <c r="D100" i="5"/>
  <c r="C100" i="5"/>
  <c r="D200" i="18" s="1"/>
  <c r="D87" i="5"/>
  <c r="C87" i="5"/>
  <c r="D159" i="18" s="1"/>
  <c r="D50" i="5"/>
  <c r="C50" i="5"/>
  <c r="D93" i="18" s="1"/>
  <c r="D25" i="5"/>
  <c r="C25" i="5"/>
  <c r="D24" i="18" s="1"/>
  <c r="D75" i="5"/>
  <c r="C75" i="5"/>
  <c r="D137" i="18" s="1"/>
  <c r="D21" i="5"/>
  <c r="C21" i="5"/>
  <c r="D20" i="18" s="1"/>
  <c r="C28" i="27"/>
  <c r="C23" i="5"/>
  <c r="D22" i="18" s="1"/>
  <c r="D23" i="5"/>
  <c r="D105" i="5"/>
  <c r="C105" i="5"/>
  <c r="D143" i="18" s="1"/>
  <c r="D84" i="5"/>
  <c r="C84" i="5"/>
  <c r="D177" i="18" s="1"/>
  <c r="C59" i="5"/>
  <c r="D119" i="18" s="1"/>
  <c r="D59" i="5"/>
  <c r="C26" i="5"/>
  <c r="D25" i="18" s="1"/>
  <c r="D26" i="5"/>
  <c r="D76" i="5"/>
  <c r="C76" i="5"/>
  <c r="D158" i="18" s="1"/>
  <c r="C22" i="5"/>
  <c r="D21" i="18" s="1"/>
  <c r="D22" i="5"/>
  <c r="D92" i="5"/>
  <c r="C92" i="5"/>
  <c r="D98" i="18" s="1"/>
  <c r="C35" i="5"/>
  <c r="D49" i="18" s="1"/>
  <c r="D35" i="5"/>
  <c r="D18" i="5"/>
  <c r="C18" i="5"/>
  <c r="C88" i="5"/>
  <c r="D138" i="18" s="1"/>
  <c r="D88" i="5"/>
  <c r="H78" i="5" a="1"/>
  <c r="H78" i="5" s="1"/>
  <c r="D103" i="5"/>
  <c r="C103" i="5"/>
  <c r="D201" i="18" s="1"/>
  <c r="B30" i="5"/>
  <c r="C30" i="5" s="1"/>
  <c r="D44" i="18" s="1"/>
  <c r="B83" i="5"/>
  <c r="B56" i="5"/>
  <c r="B82" i="5"/>
  <c r="B55" i="5"/>
  <c r="B40" i="5"/>
  <c r="H79" i="5" a="1"/>
  <c r="H79" i="5" s="1"/>
  <c r="B15" i="24"/>
  <c r="C15" i="24" s="1"/>
  <c r="B41" i="5"/>
  <c r="B63" i="5"/>
  <c r="B52" i="5"/>
  <c r="B104" i="5"/>
  <c r="C104" i="5" s="1"/>
  <c r="D14" i="5"/>
  <c r="D29" i="5"/>
  <c r="D10" i="5"/>
  <c r="C9" i="5"/>
  <c r="D10" i="18" s="1"/>
  <c r="D9" i="5"/>
  <c r="D89" i="5"/>
  <c r="D66" i="5"/>
  <c r="N28" i="27"/>
  <c r="E43" i="17"/>
  <c r="I43" i="17" s="1" a="1"/>
  <c r="I43" i="17" s="1"/>
  <c r="D31" i="5"/>
  <c r="D16" i="5"/>
  <c r="C120" i="5"/>
  <c r="E27" i="18" s="1"/>
  <c r="D120" i="5"/>
  <c r="D53" i="5"/>
  <c r="D69" i="5"/>
  <c r="D101" i="5"/>
  <c r="D51" i="5"/>
  <c r="D99" i="5"/>
  <c r="C86" i="5"/>
  <c r="K15" i="7" a="1"/>
  <c r="K15" i="7" s="1"/>
  <c r="C69" i="5"/>
  <c r="D50" i="18" s="1"/>
  <c r="C51" i="5"/>
  <c r="D111" i="18" s="1"/>
  <c r="C89" i="5"/>
  <c r="C29" i="5"/>
  <c r="C66" i="5"/>
  <c r="D94" i="18" s="1"/>
  <c r="C14" i="5"/>
  <c r="C53" i="5"/>
  <c r="D113" i="18" s="1"/>
  <c r="C101" i="5"/>
  <c r="D162" i="18" s="1"/>
  <c r="C99" i="5"/>
  <c r="D141" i="18" s="1"/>
  <c r="C10" i="5"/>
  <c r="W22" i="9"/>
  <c r="AH22" i="9" s="1"/>
  <c r="B31" i="24"/>
  <c r="C31" i="24" s="1"/>
  <c r="E109" i="17" s="1"/>
  <c r="I109" i="17" s="1" a="1"/>
  <c r="I109" i="17" s="1"/>
  <c r="K14" i="7" a="1"/>
  <c r="K14" i="7" s="1"/>
  <c r="B119" i="5"/>
  <c r="B124" i="5"/>
  <c r="B123" i="5"/>
  <c r="B112" i="5"/>
  <c r="B127" i="5"/>
  <c r="B126" i="5"/>
  <c r="C31" i="5"/>
  <c r="D45" i="18" s="1"/>
  <c r="C16" i="5"/>
  <c r="D16" i="18" s="1"/>
  <c r="B23" i="24"/>
  <c r="C23" i="24" s="1"/>
  <c r="E70" i="17" s="1"/>
  <c r="I70" i="17" s="1" a="1"/>
  <c r="I70" i="17" s="1"/>
  <c r="B24" i="24"/>
  <c r="C24" i="24" s="1"/>
  <c r="E71" i="17" s="1"/>
  <c r="I71" i="17" s="1" a="1"/>
  <c r="I71" i="17" s="1"/>
  <c r="B29" i="24"/>
  <c r="C29" i="24" s="1"/>
  <c r="E102" i="17" s="1"/>
  <c r="I102" i="17" s="1" a="1"/>
  <c r="I102" i="17" s="1"/>
  <c r="B17" i="24"/>
  <c r="C17" i="24" s="1"/>
  <c r="E49" i="17" s="1"/>
  <c r="I49" i="17" s="1" a="1"/>
  <c r="I49" i="17" s="1"/>
  <c r="B14" i="24"/>
  <c r="C14" i="24" s="1"/>
  <c r="B18" i="24"/>
  <c r="C18" i="24" s="1"/>
  <c r="E54" i="17" s="1"/>
  <c r="I54" i="17" s="1" a="1"/>
  <c r="I54" i="17" s="1"/>
  <c r="B27" i="24"/>
  <c r="C27" i="24" s="1"/>
  <c r="B20" i="24"/>
  <c r="C20" i="24" s="1"/>
  <c r="E56" i="17" s="1"/>
  <c r="I56" i="17" s="1" a="1"/>
  <c r="I56" i="17" s="1"/>
  <c r="B26" i="24"/>
  <c r="C26" i="24" s="1"/>
  <c r="E82" i="17" s="1"/>
  <c r="I82" i="17" s="1" a="1"/>
  <c r="I82" i="17" s="1"/>
  <c r="G10" i="24"/>
  <c r="F13" i="24"/>
  <c r="B8" i="24" s="1"/>
  <c r="C8" i="24" s="1"/>
  <c r="E16" i="17" s="1"/>
  <c r="I16" i="17" s="1" a="1"/>
  <c r="I16" i="17" s="1"/>
  <c r="F14" i="24"/>
  <c r="B22" i="24" s="1"/>
  <c r="C22" i="24" s="1"/>
  <c r="E64" i="17" s="1"/>
  <c r="I64" i="17" s="1" a="1"/>
  <c r="I64" i="17" s="1"/>
  <c r="B10" i="24"/>
  <c r="C10" i="24" s="1"/>
  <c r="E20" i="17" s="1"/>
  <c r="I20" i="17" s="1" a="1"/>
  <c r="I20" i="17" s="1"/>
  <c r="B25" i="24"/>
  <c r="C25" i="24" s="1"/>
  <c r="E81" i="17" s="1"/>
  <c r="I81" i="17" s="1" a="1"/>
  <c r="I81" i="17" s="1"/>
  <c r="B9" i="24"/>
  <c r="C9" i="24" s="1"/>
  <c r="E19" i="17" s="1"/>
  <c r="I19" i="17" s="1" a="1"/>
  <c r="I19" i="17" s="1"/>
  <c r="F11" i="24"/>
  <c r="G11" i="24" s="1"/>
  <c r="F15" i="24"/>
  <c r="G15" i="24" s="1"/>
  <c r="F12" i="24"/>
  <c r="B30" i="24" s="1"/>
  <c r="C30" i="24" s="1"/>
  <c r="E104" i="17" s="1"/>
  <c r="I104" i="17" s="1" a="1"/>
  <c r="I104" i="17" s="1"/>
  <c r="B19" i="24"/>
  <c r="C19" i="24" s="1"/>
  <c r="E55" i="17" s="1"/>
  <c r="I55" i="17" s="1" a="1"/>
  <c r="I55" i="17" s="1"/>
  <c r="B13" i="24"/>
  <c r="C13" i="24" s="1"/>
  <c r="W13" i="9"/>
  <c r="AH13" i="9" s="1"/>
  <c r="C21" i="24"/>
  <c r="E61" i="17" s="1"/>
  <c r="I61" i="17" s="1" a="1"/>
  <c r="I61" i="17" s="1"/>
  <c r="B21" i="23"/>
  <c r="C21" i="23" s="1"/>
  <c r="K18" i="27" s="1"/>
  <c r="B16" i="23"/>
  <c r="C16" i="23" s="1"/>
  <c r="E29" i="17" s="1"/>
  <c r="I29" i="17" s="1" a="1"/>
  <c r="I29" i="17" s="1"/>
  <c r="B17" i="23"/>
  <c r="C17" i="23" s="1"/>
  <c r="K22" i="27" s="1"/>
  <c r="B22" i="23"/>
  <c r="C22" i="23" s="1"/>
  <c r="E66" i="17" s="1"/>
  <c r="I66" i="17" s="1" a="1"/>
  <c r="I66" i="17" s="1"/>
  <c r="B9" i="23"/>
  <c r="C9" i="23" s="1"/>
  <c r="B12" i="23"/>
  <c r="C12" i="23" s="1"/>
  <c r="E14" i="17" s="1"/>
  <c r="I14" i="17" s="1" a="1"/>
  <c r="I14" i="17" s="1"/>
  <c r="B8" i="23"/>
  <c r="C8" i="23" s="1"/>
  <c r="E9" i="17" s="1"/>
  <c r="I9" i="17" s="1" a="1"/>
  <c r="I9" i="17" s="1"/>
  <c r="B24" i="23"/>
  <c r="C24" i="23" s="1"/>
  <c r="E89" i="17" s="1"/>
  <c r="I89" i="17" s="1" a="1"/>
  <c r="I89" i="17" s="1"/>
  <c r="E23" i="7"/>
  <c r="S17" i="11"/>
  <c r="B118" i="5" s="1"/>
  <c r="S12" i="11"/>
  <c r="B102" i="5" s="1"/>
  <c r="S16" i="11"/>
  <c r="B113" i="5" s="1"/>
  <c r="K11" i="7" a="1"/>
  <c r="K11" i="7" s="1"/>
  <c r="K16" i="7" a="1"/>
  <c r="K16" i="7" s="1"/>
  <c r="W23" i="9"/>
  <c r="AH23" i="9" s="1"/>
  <c r="S21" i="11"/>
  <c r="B20" i="5" s="1"/>
  <c r="W19" i="9"/>
  <c r="AH19" i="9" s="1"/>
  <c r="D21" i="7"/>
  <c r="K21" i="7" s="1" a="1"/>
  <c r="K21" i="7" s="1"/>
  <c r="D9" i="7"/>
  <c r="K9" i="7" s="1" a="1"/>
  <c r="K9" i="7" s="1"/>
  <c r="E12" i="7"/>
  <c r="K12" i="7" s="1" a="1"/>
  <c r="K12" i="7" s="1"/>
  <c r="E8" i="7"/>
  <c r="K8" i="7" s="1" a="1"/>
  <c r="K8" i="7" s="1"/>
  <c r="D10" i="7"/>
  <c r="K10" i="7" s="1" a="1"/>
  <c r="K10" i="7" s="1"/>
  <c r="E16" i="18"/>
  <c r="E74" i="18"/>
  <c r="E116" i="18"/>
  <c r="E121" i="18"/>
  <c r="E65" i="18"/>
  <c r="E115" i="18"/>
  <c r="E11" i="18"/>
  <c r="E70" i="18"/>
  <c r="E111" i="18"/>
  <c r="E72" i="18"/>
  <c r="E123" i="18"/>
  <c r="E71" i="18"/>
  <c r="E67" i="18"/>
  <c r="E124" i="18"/>
  <c r="E68" i="18"/>
  <c r="E114" i="18"/>
  <c r="E66" i="18"/>
  <c r="E112" i="18"/>
  <c r="E28" i="18"/>
  <c r="W20" i="9"/>
  <c r="AH20" i="9" s="1"/>
  <c r="W17" i="9"/>
  <c r="AH17" i="9" s="1"/>
  <c r="W18" i="9"/>
  <c r="AH18" i="9" s="1"/>
  <c r="J13" i="8"/>
  <c r="D22" i="7"/>
  <c r="D23" i="7"/>
  <c r="G18" i="7" l="1"/>
  <c r="K18" i="7" s="1" a="1"/>
  <c r="K18" i="7" s="1"/>
  <c r="G17" i="7"/>
  <c r="K17" i="7" s="1" a="1"/>
  <c r="K17" i="7" s="1"/>
  <c r="G20" i="7"/>
  <c r="K20" i="7" s="1" a="1"/>
  <c r="K20" i="7" s="1"/>
  <c r="G19" i="7"/>
  <c r="K19" i="7" s="1" a="1"/>
  <c r="K19" i="7" s="1"/>
  <c r="L16" i="8"/>
  <c r="G13" i="7"/>
  <c r="K13" i="7" s="1" a="1"/>
  <c r="K13" i="7" s="1"/>
  <c r="G22" i="7"/>
  <c r="H95" i="5" a="1"/>
  <c r="H95" i="5" s="1"/>
  <c r="H57" i="5" a="1"/>
  <c r="H57" i="5" s="1"/>
  <c r="H72" i="5" a="1"/>
  <c r="H72" i="5" s="1"/>
  <c r="H73" i="5" a="1"/>
  <c r="H73" i="5" s="1"/>
  <c r="B54" i="5"/>
  <c r="C54" i="5" s="1"/>
  <c r="H24" i="5" a="1"/>
  <c r="H24" i="5" s="1"/>
  <c r="H15" i="5" a="1"/>
  <c r="H15" i="5" s="1"/>
  <c r="H34" i="5" a="1"/>
  <c r="H34" i="5" s="1"/>
  <c r="H75" i="5" a="1"/>
  <c r="H75" i="5" s="1"/>
  <c r="H12" i="5" a="1"/>
  <c r="H12" i="5" s="1"/>
  <c r="H26" i="5" a="1"/>
  <c r="H26" i="5" s="1"/>
  <c r="H50" i="5" a="1"/>
  <c r="H50" i="5" s="1"/>
  <c r="H18" i="5" a="1"/>
  <c r="H18" i="5" s="1"/>
  <c r="H92" i="5" a="1"/>
  <c r="H92" i="5" s="1"/>
  <c r="H87" i="5" a="1"/>
  <c r="H87" i="5" s="1"/>
  <c r="H35" i="5" a="1"/>
  <c r="H35" i="5" s="1"/>
  <c r="H23" i="5" a="1"/>
  <c r="H23" i="5" s="1"/>
  <c r="H21" i="5" a="1"/>
  <c r="H21" i="5" s="1"/>
  <c r="H17" i="5" a="1"/>
  <c r="H17" i="5" s="1"/>
  <c r="H32" i="5" a="1"/>
  <c r="H32" i="5" s="1"/>
  <c r="H107" i="5" a="1"/>
  <c r="H107" i="5" s="1"/>
  <c r="H105" i="5" a="1"/>
  <c r="H105" i="5" s="1"/>
  <c r="D204" i="18"/>
  <c r="D220" i="18" s="1"/>
  <c r="H59" i="5" a="1"/>
  <c r="H59" i="5" s="1"/>
  <c r="H100" i="5" a="1"/>
  <c r="H100" i="5" s="1"/>
  <c r="H65" i="5" a="1"/>
  <c r="H65" i="5" s="1"/>
  <c r="H98" i="5" a="1"/>
  <c r="H98" i="5" s="1"/>
  <c r="H94" i="5" a="1"/>
  <c r="H94" i="5" s="1"/>
  <c r="N55" i="27"/>
  <c r="K55" i="27"/>
  <c r="C55" i="27"/>
  <c r="F55" i="27"/>
  <c r="H76" i="5" a="1"/>
  <c r="H76" i="5" s="1"/>
  <c r="H91" i="5" a="1"/>
  <c r="H91" i="5" s="1"/>
  <c r="H90" i="5" a="1"/>
  <c r="H90" i="5" s="1"/>
  <c r="H85" i="5" a="1"/>
  <c r="H85" i="5" s="1"/>
  <c r="H106" i="5" a="1"/>
  <c r="H106" i="5" s="1"/>
  <c r="H77" i="5" a="1"/>
  <c r="H77" i="5" s="1"/>
  <c r="H62" i="5" a="1"/>
  <c r="H62" i="5" s="1"/>
  <c r="H88" i="5" a="1"/>
  <c r="H88" i="5" s="1"/>
  <c r="H22" i="5" a="1"/>
  <c r="H22" i="5" s="1"/>
  <c r="H84" i="5" a="1"/>
  <c r="H84" i="5" s="1"/>
  <c r="H25" i="5" a="1"/>
  <c r="H25" i="5" s="1"/>
  <c r="H58" i="5" a="1"/>
  <c r="H58" i="5" s="1"/>
  <c r="H67" i="5" a="1"/>
  <c r="H67" i="5" s="1"/>
  <c r="B43" i="5"/>
  <c r="B97" i="5"/>
  <c r="H74" i="5" a="1"/>
  <c r="H74" i="5" s="1"/>
  <c r="H33" i="5" a="1"/>
  <c r="H33" i="5" s="1"/>
  <c r="H68" i="5" a="1"/>
  <c r="H68" i="5" s="1"/>
  <c r="H93" i="5" a="1"/>
  <c r="H93" i="5" s="1"/>
  <c r="H60" i="5" a="1"/>
  <c r="H60" i="5" s="1"/>
  <c r="D30" i="5"/>
  <c r="H30" i="5" s="1" a="1"/>
  <c r="H30" i="5" s="1"/>
  <c r="D104" i="5"/>
  <c r="H120" i="5" a="1"/>
  <c r="H120" i="5" s="1"/>
  <c r="H29" i="5" a="1"/>
  <c r="H29" i="5" s="1"/>
  <c r="D43" i="18"/>
  <c r="H104" i="5" a="1"/>
  <c r="H104" i="5" s="1"/>
  <c r="H10" i="5" a="1"/>
  <c r="H10" i="5" s="1"/>
  <c r="H14" i="5" a="1"/>
  <c r="H14" i="5" s="1"/>
  <c r="B19" i="5"/>
  <c r="C19" i="5" s="1"/>
  <c r="B61" i="5"/>
  <c r="D61" i="5" s="1"/>
  <c r="B64" i="5"/>
  <c r="D64" i="5" s="1"/>
  <c r="B70" i="5"/>
  <c r="D70" i="5" s="1"/>
  <c r="B109" i="5"/>
  <c r="D109" i="5" s="1"/>
  <c r="B71" i="5"/>
  <c r="D71" i="5" s="1"/>
  <c r="B81" i="5"/>
  <c r="D81" i="5" s="1"/>
  <c r="B49" i="5"/>
  <c r="D49" i="5" s="1"/>
  <c r="H103" i="5" a="1"/>
  <c r="H103" i="5" s="1"/>
  <c r="H89" i="5" a="1"/>
  <c r="H89" i="5" s="1"/>
  <c r="D52" i="5"/>
  <c r="C52" i="5"/>
  <c r="D112" i="18" s="1"/>
  <c r="D63" i="5"/>
  <c r="C63" i="5"/>
  <c r="D189" i="18" s="1"/>
  <c r="L13" i="8"/>
  <c r="D97" i="18"/>
  <c r="D14" i="18"/>
  <c r="C43" i="27"/>
  <c r="E10" i="17"/>
  <c r="I10" i="17" s="1" a="1"/>
  <c r="I10" i="17" s="1"/>
  <c r="D163" i="18"/>
  <c r="H9" i="5" a="1"/>
  <c r="H9" i="5" s="1"/>
  <c r="C113" i="5"/>
  <c r="D113" i="5"/>
  <c r="C118" i="5"/>
  <c r="D118" i="5"/>
  <c r="N27" i="27"/>
  <c r="E42" i="17"/>
  <c r="I42" i="17" s="1" a="1"/>
  <c r="I42" i="17" s="1"/>
  <c r="N26" i="27"/>
  <c r="E41" i="17"/>
  <c r="I41" i="17" s="1" a="1"/>
  <c r="I41" i="17" s="1"/>
  <c r="N25" i="27"/>
  <c r="E40" i="17"/>
  <c r="I40" i="17" s="1" a="1"/>
  <c r="I40" i="17" s="1"/>
  <c r="D40" i="5"/>
  <c r="D55" i="5"/>
  <c r="D20" i="5"/>
  <c r="D56" i="5"/>
  <c r="D82" i="5"/>
  <c r="E83" i="17"/>
  <c r="I83" i="17" s="1" a="1"/>
  <c r="I83" i="17" s="1"/>
  <c r="N24" i="27"/>
  <c r="D83" i="5"/>
  <c r="D41" i="5"/>
  <c r="D102" i="5"/>
  <c r="E44" i="18"/>
  <c r="C126" i="5"/>
  <c r="D126" i="5"/>
  <c r="C127" i="5"/>
  <c r="D127" i="5"/>
  <c r="C112" i="5"/>
  <c r="D112" i="5"/>
  <c r="C123" i="5"/>
  <c r="D123" i="5"/>
  <c r="C124" i="5"/>
  <c r="D124" i="5"/>
  <c r="C119" i="5"/>
  <c r="E26" i="18" s="1"/>
  <c r="D119" i="5"/>
  <c r="C42" i="5"/>
  <c r="D67" i="18" s="1"/>
  <c r="D42" i="5"/>
  <c r="D39" i="5"/>
  <c r="C47" i="5"/>
  <c r="D72" i="18" s="1"/>
  <c r="D47" i="5"/>
  <c r="D80" i="5"/>
  <c r="D86" i="5"/>
  <c r="H86" i="5" s="1" a="1"/>
  <c r="H86" i="5" s="1"/>
  <c r="E80" i="17"/>
  <c r="I80" i="17" s="1" a="1"/>
  <c r="I80" i="17" s="1"/>
  <c r="E39" i="17"/>
  <c r="I39" i="17" s="1" a="1"/>
  <c r="I39" i="17" s="1"/>
  <c r="C80" i="5"/>
  <c r="D73" i="18" s="1"/>
  <c r="D75" i="18"/>
  <c r="H31" i="5" a="1"/>
  <c r="H31" i="5" s="1"/>
  <c r="H69" i="5" a="1"/>
  <c r="H69" i="5" s="1"/>
  <c r="C39" i="5"/>
  <c r="D64" i="18" s="1"/>
  <c r="H16" i="5" a="1"/>
  <c r="H16" i="5" s="1"/>
  <c r="C20" i="27"/>
  <c r="C17" i="27"/>
  <c r="G14" i="24"/>
  <c r="H101" i="5" a="1"/>
  <c r="H101" i="5" s="1"/>
  <c r="H51" i="5" a="1"/>
  <c r="H51" i="5" s="1"/>
  <c r="G13" i="24"/>
  <c r="H99" i="5" a="1"/>
  <c r="H99" i="5" s="1"/>
  <c r="H53" i="5" a="1"/>
  <c r="H53" i="5" s="1"/>
  <c r="H66" i="5" a="1"/>
  <c r="H66" i="5" s="1"/>
  <c r="F24" i="27"/>
  <c r="F25" i="27"/>
  <c r="F22" i="27"/>
  <c r="B115" i="5"/>
  <c r="B114" i="5"/>
  <c r="G12" i="24"/>
  <c r="B117" i="5"/>
  <c r="B116" i="5"/>
  <c r="C40" i="5"/>
  <c r="C55" i="5"/>
  <c r="C20" i="5"/>
  <c r="C56" i="5"/>
  <c r="C82" i="5"/>
  <c r="C83" i="5"/>
  <c r="C41" i="5"/>
  <c r="C102" i="5"/>
  <c r="G23" i="7"/>
  <c r="K23" i="7" s="1" a="1"/>
  <c r="K23" i="7" s="1"/>
  <c r="H125" i="5" a="1"/>
  <c r="H125" i="5" s="1"/>
  <c r="E179" i="18"/>
  <c r="H128" i="5" a="1"/>
  <c r="H128" i="5" s="1"/>
  <c r="E11" i="13"/>
  <c r="B13" i="5" s="1"/>
  <c r="E10" i="13"/>
  <c r="B11" i="5" s="1"/>
  <c r="E20" i="13"/>
  <c r="B38" i="5" s="1"/>
  <c r="E21" i="13"/>
  <c r="B37" i="5" s="1"/>
  <c r="E22" i="13"/>
  <c r="B36" i="5" s="1"/>
  <c r="E16" i="13"/>
  <c r="B28" i="5" s="1"/>
  <c r="E15" i="13"/>
  <c r="B27" i="5" s="1"/>
  <c r="K22" i="7" a="1"/>
  <c r="K22" i="7" s="1"/>
  <c r="D54" i="5" l="1"/>
  <c r="C61" i="5"/>
  <c r="D154" i="18" s="1"/>
  <c r="D168" i="18" s="1"/>
  <c r="D217" i="18" s="1"/>
  <c r="C71" i="5"/>
  <c r="D136" i="18" s="1"/>
  <c r="D19" i="5"/>
  <c r="H19" i="5" s="1" a="1"/>
  <c r="H19" i="5" s="1"/>
  <c r="D97" i="5"/>
  <c r="C97" i="5"/>
  <c r="D124" i="18" s="1"/>
  <c r="D43" i="5"/>
  <c r="C43" i="5"/>
  <c r="C70" i="5"/>
  <c r="H70" i="5" s="1" a="1"/>
  <c r="H70" i="5" s="1"/>
  <c r="H40" i="5" a="1"/>
  <c r="H40" i="5" s="1"/>
  <c r="H118" i="5" a="1"/>
  <c r="H118" i="5" s="1"/>
  <c r="C64" i="5"/>
  <c r="D190" i="18" s="1"/>
  <c r="D193" i="18" s="1"/>
  <c r="D219" i="18" s="1"/>
  <c r="H20" i="5" a="1"/>
  <c r="H20" i="5" s="1"/>
  <c r="H113" i="5" a="1"/>
  <c r="H113" i="5" s="1"/>
  <c r="H82" i="5" a="1"/>
  <c r="H82" i="5" s="1"/>
  <c r="H56" i="5" a="1"/>
  <c r="H56" i="5" s="1"/>
  <c r="C109" i="5"/>
  <c r="H109" i="5" s="1" a="1"/>
  <c r="H109" i="5" s="1"/>
  <c r="C81" i="5"/>
  <c r="H81" i="5" s="1" a="1"/>
  <c r="H81" i="5" s="1"/>
  <c r="C49" i="5"/>
  <c r="D92" i="18" s="1"/>
  <c r="H83" i="5" a="1"/>
  <c r="H83" i="5" s="1"/>
  <c r="H119" i="5" a="1"/>
  <c r="H119" i="5" s="1"/>
  <c r="H63" i="5" a="1"/>
  <c r="H63" i="5" s="1"/>
  <c r="H52" i="5" a="1"/>
  <c r="H52" i="5" s="1"/>
  <c r="H54" i="5" a="1"/>
  <c r="H54" i="5" s="1"/>
  <c r="H102" i="5" a="1"/>
  <c r="H102" i="5" s="1"/>
  <c r="H41" i="5" a="1"/>
  <c r="H41" i="5" s="1"/>
  <c r="H47" i="5" a="1"/>
  <c r="H47" i="5" s="1"/>
  <c r="H123" i="5" a="1"/>
  <c r="H123" i="5" s="1"/>
  <c r="H127" i="5" a="1"/>
  <c r="H127" i="5" s="1"/>
  <c r="H55" i="5" a="1"/>
  <c r="H55" i="5" s="1"/>
  <c r="H126" i="5" a="1"/>
  <c r="H126" i="5" s="1"/>
  <c r="D65" i="18"/>
  <c r="N30" i="27"/>
  <c r="H124" i="5" a="1"/>
  <c r="H124" i="5" s="1"/>
  <c r="F27" i="27"/>
  <c r="H42" i="5" a="1"/>
  <c r="H42" i="5" s="1"/>
  <c r="H112" i="5" a="1"/>
  <c r="H112" i="5" s="1"/>
  <c r="E189" i="18"/>
  <c r="E201" i="18"/>
  <c r="E204" i="18" s="1"/>
  <c r="E220" i="18" s="1"/>
  <c r="E163" i="18"/>
  <c r="E45" i="18"/>
  <c r="E54" i="18" s="1"/>
  <c r="E212" i="18" s="1"/>
  <c r="D27" i="5"/>
  <c r="D28" i="5"/>
  <c r="D48" i="5"/>
  <c r="D11" i="5"/>
  <c r="D13" i="5"/>
  <c r="E95" i="18"/>
  <c r="E136" i="18"/>
  <c r="E142" i="18"/>
  <c r="E92" i="18"/>
  <c r="C116" i="5"/>
  <c r="D116" i="5"/>
  <c r="C117" i="5"/>
  <c r="D117" i="5"/>
  <c r="E19" i="18"/>
  <c r="E18" i="18"/>
  <c r="E176" i="18"/>
  <c r="C114" i="5"/>
  <c r="D114" i="5"/>
  <c r="C115" i="5"/>
  <c r="D115" i="5"/>
  <c r="H80" i="5" a="1"/>
  <c r="H80" i="5" s="1"/>
  <c r="C44" i="5"/>
  <c r="C45" i="5"/>
  <c r="C46" i="5"/>
  <c r="H39" i="5" a="1"/>
  <c r="H39" i="5" s="1"/>
  <c r="D18" i="18"/>
  <c r="D66" i="18"/>
  <c r="D115" i="18"/>
  <c r="D19" i="18"/>
  <c r="D116" i="18"/>
  <c r="D114" i="18"/>
  <c r="D142" i="18"/>
  <c r="D121" i="18"/>
  <c r="D74" i="18"/>
  <c r="C27" i="5"/>
  <c r="C28" i="5"/>
  <c r="C48" i="5"/>
  <c r="D91" i="18" s="1"/>
  <c r="C11" i="5"/>
  <c r="C13" i="5"/>
  <c r="B14" i="23"/>
  <c r="C14" i="23" s="1"/>
  <c r="E27" i="17" s="1"/>
  <c r="I27" i="17" s="1" a="1"/>
  <c r="I27" i="17" s="1"/>
  <c r="B10" i="23"/>
  <c r="C10" i="23" s="1"/>
  <c r="B15" i="23"/>
  <c r="C15" i="23" s="1"/>
  <c r="E28" i="17" s="1"/>
  <c r="I28" i="17" s="1" a="1"/>
  <c r="I28" i="17" s="1"/>
  <c r="B18" i="23"/>
  <c r="C18" i="23" s="1"/>
  <c r="B11" i="23"/>
  <c r="C11" i="23" s="1"/>
  <c r="B20" i="23"/>
  <c r="C20" i="23" s="1"/>
  <c r="B19" i="23"/>
  <c r="C19" i="23" s="1"/>
  <c r="B23" i="23"/>
  <c r="C23" i="23" s="1"/>
  <c r="E48" i="17" s="1"/>
  <c r="I48" i="17" s="1" a="1"/>
  <c r="I48" i="17" s="1"/>
  <c r="D11" i="18"/>
  <c r="E128" i="18"/>
  <c r="E84" i="18"/>
  <c r="E213" i="18" s="1"/>
  <c r="H31" i="13"/>
  <c r="H32" i="13" s="1"/>
  <c r="H33" i="13" s="1"/>
  <c r="H61" i="5" l="1" a="1"/>
  <c r="H61" i="5" s="1"/>
  <c r="H71" i="5" a="1"/>
  <c r="H71" i="5" s="1"/>
  <c r="D146" i="18"/>
  <c r="D216" i="18" s="1"/>
  <c r="D95" i="18"/>
  <c r="H97" i="5" a="1"/>
  <c r="H97" i="5" s="1"/>
  <c r="D68" i="18"/>
  <c r="H43" i="5" a="1"/>
  <c r="H43" i="5" s="1"/>
  <c r="D176" i="18"/>
  <c r="H64" i="5" a="1"/>
  <c r="H64" i="5" s="1"/>
  <c r="H28" i="5" a="1"/>
  <c r="H28" i="5" s="1"/>
  <c r="D179" i="18"/>
  <c r="H11" i="5" a="1"/>
  <c r="H11" i="5" s="1"/>
  <c r="H49" i="5" a="1"/>
  <c r="H49" i="5" s="1"/>
  <c r="G204" i="18"/>
  <c r="G206" i="18" s="1"/>
  <c r="G207" i="18" s="1"/>
  <c r="E104" i="18"/>
  <c r="E214" i="18" s="1"/>
  <c r="H116" i="5" a="1"/>
  <c r="H116" i="5" s="1"/>
  <c r="K20" i="27"/>
  <c r="K44" i="27"/>
  <c r="K43" i="27"/>
  <c r="K19" i="27"/>
  <c r="E13" i="17"/>
  <c r="I13" i="17" s="1" a="1"/>
  <c r="I13" i="17" s="1"/>
  <c r="C45" i="27"/>
  <c r="K45" i="27"/>
  <c r="K21" i="27"/>
  <c r="C44" i="27"/>
  <c r="E11" i="17"/>
  <c r="I11" i="17" s="1" a="1"/>
  <c r="I11" i="17" s="1"/>
  <c r="E146" i="18"/>
  <c r="E216" i="18" s="1"/>
  <c r="H115" i="5" a="1"/>
  <c r="H115" i="5" s="1"/>
  <c r="H13" i="5" a="1"/>
  <c r="H13" i="5" s="1"/>
  <c r="H27" i="5" a="1"/>
  <c r="H27" i="5" s="1"/>
  <c r="D41" i="18"/>
  <c r="D12" i="18"/>
  <c r="D69" i="18"/>
  <c r="H114" i="5" a="1"/>
  <c r="H114" i="5" s="1"/>
  <c r="H117" i="5" a="1"/>
  <c r="H117" i="5" s="1"/>
  <c r="E190" i="18"/>
  <c r="E193" i="18" s="1"/>
  <c r="E154" i="18"/>
  <c r="E168" i="18" s="1"/>
  <c r="D38" i="5"/>
  <c r="D46" i="5"/>
  <c r="H46" i="5" s="1" a="1"/>
  <c r="H46" i="5" s="1"/>
  <c r="D37" i="5"/>
  <c r="D45" i="5"/>
  <c r="H45" i="5" s="1" a="1"/>
  <c r="H45" i="5" s="1"/>
  <c r="D36" i="5"/>
  <c r="D44" i="5"/>
  <c r="H44" i="5" s="1" a="1"/>
  <c r="H44" i="5" s="1"/>
  <c r="E36" i="17"/>
  <c r="I36" i="17" s="1" a="1"/>
  <c r="I36" i="17" s="1"/>
  <c r="E37" i="17"/>
  <c r="I37" i="17" s="1" a="1"/>
  <c r="I37" i="17" s="1"/>
  <c r="E38" i="17"/>
  <c r="I38" i="17" s="1" a="1"/>
  <c r="I38" i="17" s="1"/>
  <c r="D13" i="18"/>
  <c r="C36" i="5"/>
  <c r="D61" i="18" s="1"/>
  <c r="C37" i="5"/>
  <c r="D62" i="18" s="1"/>
  <c r="C38" i="5"/>
  <c r="D63" i="18" s="1"/>
  <c r="C18" i="27"/>
  <c r="C19" i="27"/>
  <c r="D42" i="18"/>
  <c r="D128" i="18"/>
  <c r="D215" i="18" s="1"/>
  <c r="D71" i="18"/>
  <c r="D70" i="18"/>
  <c r="H48" i="5" a="1"/>
  <c r="H48" i="5" s="1"/>
  <c r="C30" i="23"/>
  <c r="E215" i="18"/>
  <c r="E34" i="18"/>
  <c r="E182" i="18"/>
  <c r="D182" i="18" l="1"/>
  <c r="D218" i="18" s="1"/>
  <c r="C46" i="27"/>
  <c r="F46" i="27" s="1"/>
  <c r="C54" i="27" s="1"/>
  <c r="K30" i="27"/>
  <c r="G146" i="18"/>
  <c r="G148" i="18" s="1"/>
  <c r="G149" i="18" s="1"/>
  <c r="C27" i="27"/>
  <c r="K46" i="27"/>
  <c r="N46" i="27" s="1"/>
  <c r="K54" i="27" s="1"/>
  <c r="E219" i="18"/>
  <c r="G193" i="18"/>
  <c r="G195" i="18" s="1"/>
  <c r="G196" i="18" s="1"/>
  <c r="G168" i="18"/>
  <c r="G170" i="18" s="1"/>
  <c r="G171" i="18" s="1"/>
  <c r="E217" i="18"/>
  <c r="H38" i="5" a="1"/>
  <c r="H38" i="5" s="1"/>
  <c r="H36" i="5" a="1"/>
  <c r="H36" i="5" s="1"/>
  <c r="H37" i="5" a="1"/>
  <c r="H37" i="5" s="1"/>
  <c r="G227" i="18"/>
  <c r="G128" i="18"/>
  <c r="G130" i="18" s="1"/>
  <c r="G131" i="18" s="1"/>
  <c r="E211" i="18"/>
  <c r="G182" i="18"/>
  <c r="G184" i="18" s="1"/>
  <c r="G185" i="18" s="1"/>
  <c r="E218" i="18"/>
  <c r="D84" i="18"/>
  <c r="D104" i="18"/>
  <c r="D54" i="18"/>
  <c r="D34" i="18"/>
  <c r="G34" i="18" s="1"/>
  <c r="F54" i="27" l="1"/>
  <c r="N54" i="27"/>
  <c r="E222" i="18"/>
  <c r="G54" i="18"/>
  <c r="G56" i="18" s="1"/>
  <c r="G57" i="18" s="1"/>
  <c r="D212" i="18"/>
  <c r="G104" i="18"/>
  <c r="G106" i="18" s="1"/>
  <c r="G107" i="18" s="1"/>
  <c r="D214" i="18"/>
  <c r="G36" i="18"/>
  <c r="G37" i="18" s="1"/>
  <c r="D211" i="18"/>
  <c r="G84" i="18"/>
  <c r="G86" i="18" s="1"/>
  <c r="G87" i="18" s="1"/>
  <c r="D213" i="18"/>
  <c r="D222" i="18" l="1"/>
  <c r="G222" i="18" s="1"/>
  <c r="G224" i="18" s="1"/>
  <c r="G225" i="18" s="1"/>
  <c r="G228" i="18" l="1"/>
  <c r="G229" i="18" l="1"/>
  <c r="G230" i="1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859365-A97F-4B62-B867-4B8F4C0BDC99}" keepAlive="1" name="Abfrage - Parish_house_1_model_20231025" description="Verbindung mit der Abfrage 'Parish_house_1_model_20231025' in der Arbeitsmappe." type="5" refreshedVersion="0" background="1" saveData="1">
    <dbPr connection="Provider=Microsoft.Mashup.OleDb.1;Data Source=$Workbook$;Location=Parish_house_1_model_20231025;Extended Properties=&quot;&quot;" command="SELECT * FROM [Parish_house_1_model_20231025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<sst xmlns="http://schemas.openxmlformats.org/spreadsheetml/2006/main" count="2066" uniqueCount="430">
  <si>
    <t>#Fictitious nodes floor 1</t>
  </si>
  <si>
    <t># Fictitious nodes floor 2</t>
  </si>
  <si>
    <t>#Wall 1</t>
  </si>
  <si>
    <t>#Wall 2</t>
  </si>
  <si>
    <t>#Wall 3</t>
  </si>
  <si>
    <t>#Wall 4</t>
  </si>
  <si>
    <t>#Wall 5</t>
  </si>
  <si>
    <t>#Wall 6</t>
  </si>
  <si>
    <t>#Wall 7</t>
  </si>
  <si>
    <t>#Wall 8</t>
  </si>
  <si>
    <t>#Wall 9</t>
  </si>
  <si>
    <t>#Wall 10</t>
  </si>
  <si>
    <t>X</t>
  </si>
  <si>
    <t>Y</t>
  </si>
  <si>
    <t>Nodes</t>
  </si>
  <si>
    <t>RY</t>
  </si>
  <si>
    <t>Z</t>
  </si>
  <si>
    <t>RX</t>
  </si>
  <si>
    <t>RZ</t>
  </si>
  <si>
    <t>Nodal masses</t>
  </si>
  <si>
    <t>density</t>
  </si>
  <si>
    <t>element</t>
  </si>
  <si>
    <t>Node I</t>
  </si>
  <si>
    <t>Node J</t>
  </si>
  <si>
    <t>-density</t>
  </si>
  <si>
    <t>#element</t>
  </si>
  <si>
    <t>$eTag</t>
  </si>
  <si>
    <t>$nI</t>
  </si>
  <si>
    <t>$nJ</t>
  </si>
  <si>
    <t>$nE</t>
  </si>
  <si>
    <t>$aX</t>
  </si>
  <si>
    <t>$aY</t>
  </si>
  <si>
    <t>$aZ</t>
  </si>
  <si>
    <t>$oopX</t>
  </si>
  <si>
    <t>$oopY</t>
  </si>
  <si>
    <t>$oopZ</t>
  </si>
  <si>
    <t>$h</t>
  </si>
  <si>
    <t>$L</t>
  </si>
  <si>
    <t>$t</t>
  </si>
  <si>
    <t>$E</t>
  </si>
  <si>
    <t>$G</t>
  </si>
  <si>
    <t>$fc</t>
  </si>
  <si>
    <t>$mu</t>
  </si>
  <si>
    <t>$c</t>
  </si>
  <si>
    <t>$Gc</t>
  </si>
  <si>
    <t>#Wall</t>
  </si>
  <si>
    <t>#END</t>
  </si>
  <si>
    <t>fix</t>
  </si>
  <si>
    <t>element Macroelement3d</t>
  </si>
  <si>
    <t>-pDelta</t>
  </si>
  <si>
    <t>$dropDrift</t>
  </si>
  <si>
    <t>$muR</t>
  </si>
  <si>
    <t>$element</t>
  </si>
  <si>
    <t>ShellMITC4</t>
  </si>
  <si>
    <t>$nK</t>
  </si>
  <si>
    <t>$nL</t>
  </si>
  <si>
    <t>$secTag</t>
  </si>
  <si>
    <t>section</t>
  </si>
  <si>
    <t>OrthotropicMembraneSection</t>
  </si>
  <si>
    <t>$E1</t>
  </si>
  <si>
    <t>$E2</t>
  </si>
  <si>
    <t>$ni</t>
  </si>
  <si>
    <t>$rho</t>
  </si>
  <si>
    <t>$angle</t>
  </si>
  <si>
    <t>Slab above first floor</t>
  </si>
  <si>
    <t>Number</t>
  </si>
  <si>
    <t>Main supporting direction</t>
  </si>
  <si>
    <t>Node L</t>
  </si>
  <si>
    <t>Node K</t>
  </si>
  <si>
    <t>Lx [m]</t>
  </si>
  <si>
    <t>Ly [m]</t>
  </si>
  <si>
    <t>Ex [Pa]</t>
  </si>
  <si>
    <t>Ey [Pa]</t>
  </si>
  <si>
    <t>G [Pa]</t>
  </si>
  <si>
    <t>East-west</t>
  </si>
  <si>
    <t>North-South</t>
  </si>
  <si>
    <t>XY</t>
  </si>
  <si>
    <t>Vaults</t>
  </si>
  <si>
    <t>Equivalent properties</t>
  </si>
  <si>
    <t>(Main)Vault direction</t>
  </si>
  <si>
    <t>Barrel or crossed</t>
  </si>
  <si>
    <t>fx [m]</t>
  </si>
  <si>
    <t>fy [m]</t>
  </si>
  <si>
    <t>s [m]</t>
  </si>
  <si>
    <t>s/Lx [-]</t>
  </si>
  <si>
    <t>s/Ly [-]</t>
  </si>
  <si>
    <t>fx/Lx [-]</t>
  </si>
  <si>
    <t>fy/Ly [-]</t>
  </si>
  <si>
    <t>E [Pa]</t>
  </si>
  <si>
    <t>Evx [Pa]</t>
  </si>
  <si>
    <t>Evy [Pa]</t>
  </si>
  <si>
    <t>Gvx [Pa]</t>
  </si>
  <si>
    <t>Gv [Pa]</t>
  </si>
  <si>
    <t>Barrel</t>
  </si>
  <si>
    <t>Crossed</t>
  </si>
  <si>
    <t>Equivalent slab method proposed by Cattari 2008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</si>
  <si>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</si>
  <si>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</si>
  <si>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</si>
  <si>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</si>
  <si>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</si>
  <si>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</si>
  <si>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</si>
  <si>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</si>
  <si>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</si>
  <si>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</si>
  <si>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</si>
  <si>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</si>
  <si>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</si>
  <si>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</si>
  <si>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Barrel vault: Simply supported</t>
  </si>
  <si>
    <t>Barrel vault: Fixed</t>
  </si>
  <si>
    <t>Cross vault</t>
  </si>
  <si>
    <t>Layer</t>
  </si>
  <si>
    <t>Material</t>
  </si>
  <si>
    <r>
      <t>Volumetric mass [kg/m</t>
    </r>
    <r>
      <rPr>
        <b/>
        <vertAlign val="superscript"/>
        <sz val="11"/>
        <color theme="3"/>
        <rFont val="Arial"/>
        <family val="2"/>
        <scheme val="minor"/>
      </rPr>
      <t>3</t>
    </r>
    <r>
      <rPr>
        <b/>
        <sz val="11"/>
        <color theme="3"/>
        <rFont val="Arial"/>
        <family val="2"/>
        <scheme val="minor"/>
      </rPr>
      <t>]</t>
    </r>
  </si>
  <si>
    <t>Thickness [m]</t>
  </si>
  <si>
    <t>Hardwood</t>
  </si>
  <si>
    <t>Timber construction to support flooring</t>
  </si>
  <si>
    <t>Timber</t>
  </si>
  <si>
    <t>Flooring parquet</t>
  </si>
  <si>
    <t>Slab above ground floor</t>
  </si>
  <si>
    <t>Surface mass [kg/m2]</t>
  </si>
  <si>
    <r>
      <t>Surface mass [kg/m</t>
    </r>
    <r>
      <rPr>
        <b/>
        <vertAlign val="superscript"/>
        <sz val="11"/>
        <color theme="3"/>
        <rFont val="Arial"/>
        <family val="2"/>
        <scheme val="minor"/>
      </rPr>
      <t>2</t>
    </r>
    <r>
      <rPr>
        <b/>
        <sz val="11"/>
        <color theme="3"/>
        <rFont val="Arial"/>
        <family val="2"/>
        <scheme val="minor"/>
      </rPr>
      <t>]</t>
    </r>
  </si>
  <si>
    <r>
      <t>Volumetric load [kN/m</t>
    </r>
    <r>
      <rPr>
        <b/>
        <vertAlign val="superscript"/>
        <sz val="11"/>
        <color theme="3"/>
        <rFont val="Arial"/>
        <family val="2"/>
        <scheme val="minor"/>
      </rPr>
      <t>3</t>
    </r>
    <r>
      <rPr>
        <b/>
        <sz val="11"/>
        <color theme="3"/>
        <rFont val="Arial"/>
        <family val="2"/>
        <scheme val="minor"/>
      </rPr>
      <t>]</t>
    </r>
  </si>
  <si>
    <t>Masonry from vaults</t>
  </si>
  <si>
    <t>Brick masonry</t>
  </si>
  <si>
    <t>Concrete slab</t>
  </si>
  <si>
    <t>Concrete</t>
  </si>
  <si>
    <t>Timber old</t>
  </si>
  <si>
    <t>Tiling and timber</t>
  </si>
  <si>
    <t>Roof tiles and lath*</t>
  </si>
  <si>
    <t>* Surface load given -&gt; multiplied by thickness 1 to keep it as a surface load!</t>
  </si>
  <si>
    <t>Roof isolation</t>
  </si>
  <si>
    <t>Mineral wool</t>
  </si>
  <si>
    <t>Timber members of roof structure</t>
  </si>
  <si>
    <t>Timber new</t>
  </si>
  <si>
    <t>Plasterboards (finishing)</t>
  </si>
  <si>
    <t>Plaster board</t>
  </si>
  <si>
    <t>Load</t>
  </si>
  <si>
    <t>Cat A</t>
  </si>
  <si>
    <t>Residential building</t>
  </si>
  <si>
    <r>
      <t>Characteristic surface load [kN/m</t>
    </r>
    <r>
      <rPr>
        <b/>
        <vertAlign val="superscript"/>
        <sz val="11"/>
        <color theme="3"/>
        <rFont val="Arial"/>
        <family val="2"/>
        <scheme val="minor"/>
      </rPr>
      <t>2</t>
    </r>
    <r>
      <rPr>
        <b/>
        <sz val="11"/>
        <color theme="3"/>
        <rFont val="Arial"/>
        <family val="2"/>
        <scheme val="minor"/>
      </rPr>
      <t>]</t>
    </r>
  </si>
  <si>
    <r>
      <t>Design surface load [kN/m</t>
    </r>
    <r>
      <rPr>
        <b/>
        <vertAlign val="superscript"/>
        <sz val="11"/>
        <color theme="3"/>
        <rFont val="Arial"/>
        <family val="2"/>
        <scheme val="minor"/>
      </rPr>
      <t>2</t>
    </r>
    <r>
      <rPr>
        <b/>
        <sz val="11"/>
        <color theme="3"/>
        <rFont val="Arial"/>
        <family val="2"/>
        <scheme val="minor"/>
      </rPr>
      <t>]</t>
    </r>
  </si>
  <si>
    <t>Load factor</t>
  </si>
  <si>
    <t>Selfweight</t>
  </si>
  <si>
    <r>
      <t>Total [kg/m</t>
    </r>
    <r>
      <rPr>
        <i/>
        <vertAlign val="superscript"/>
        <sz val="11"/>
        <color theme="1"/>
        <rFont val="Arial"/>
        <family val="2"/>
        <scheme val="minor"/>
      </rPr>
      <t>2</t>
    </r>
    <r>
      <rPr>
        <i/>
        <sz val="11"/>
        <color theme="1"/>
        <rFont val="Arial"/>
        <family val="2"/>
        <scheme val="minor"/>
      </rPr>
      <t>]</t>
    </r>
  </si>
  <si>
    <t>Live load</t>
  </si>
  <si>
    <t>Roof structure</t>
  </si>
  <si>
    <t>xI [m]</t>
  </si>
  <si>
    <t>yI [m]</t>
  </si>
  <si>
    <t>xJ [m]</t>
  </si>
  <si>
    <t>xK [m]</t>
  </si>
  <si>
    <t>yJ [m]</t>
  </si>
  <si>
    <t>yK [m]</t>
  </si>
  <si>
    <t>xL [m]</t>
  </si>
  <si>
    <t>yL [m]</t>
  </si>
  <si>
    <t>Lx mean [m]</t>
  </si>
  <si>
    <t>Ly mean [m]</t>
  </si>
  <si>
    <t>Shell number</t>
  </si>
  <si>
    <t>Floor level</t>
  </si>
  <si>
    <t>Floor</t>
  </si>
  <si>
    <t>Total mass [kg]</t>
  </si>
  <si>
    <r>
      <t>Area [m</t>
    </r>
    <r>
      <rPr>
        <vertAlign val="superscript"/>
        <sz val="11"/>
        <color theme="1"/>
        <rFont val="Arial"/>
        <family val="2"/>
        <scheme val="minor"/>
      </rPr>
      <t>2</t>
    </r>
    <r>
      <rPr>
        <sz val="11"/>
        <color theme="1"/>
        <rFont val="Arial"/>
        <family val="2"/>
        <scheme val="minor"/>
      </rPr>
      <t>]</t>
    </r>
  </si>
  <si>
    <t>Mass per node [kg]</t>
  </si>
  <si>
    <t>Charactersistic</t>
  </si>
  <si>
    <t>Symbol</t>
  </si>
  <si>
    <t>Unit</t>
  </si>
  <si>
    <t>Young's modulus</t>
  </si>
  <si>
    <t>Wall part</t>
  </si>
  <si>
    <t>Masonry</t>
  </si>
  <si>
    <t>E</t>
  </si>
  <si>
    <t>Pa</t>
  </si>
  <si>
    <t>Shear modulus</t>
  </si>
  <si>
    <t>G</t>
  </si>
  <si>
    <t>Poisson's ratio</t>
  </si>
  <si>
    <t>ν</t>
  </si>
  <si>
    <t>-</t>
  </si>
  <si>
    <t>Compressive strength</t>
  </si>
  <si>
    <r>
      <t>f</t>
    </r>
    <r>
      <rPr>
        <vertAlign val="subscript"/>
        <sz val="11"/>
        <color theme="1"/>
        <rFont val="Arial"/>
        <family val="2"/>
        <scheme val="minor"/>
      </rPr>
      <t>c,M</t>
    </r>
  </si>
  <si>
    <t>Brick</t>
  </si>
  <si>
    <r>
      <t>f</t>
    </r>
    <r>
      <rPr>
        <vertAlign val="subscript"/>
        <sz val="11"/>
        <color theme="1"/>
        <rFont val="Arial"/>
        <family val="2"/>
        <scheme val="minor"/>
      </rPr>
      <t>c,b</t>
    </r>
  </si>
  <si>
    <t>Mortar</t>
  </si>
  <si>
    <r>
      <t>f</t>
    </r>
    <r>
      <rPr>
        <vertAlign val="subscript"/>
        <sz val="11"/>
        <color theme="1"/>
        <rFont val="Arial"/>
        <family val="2"/>
        <scheme val="minor"/>
      </rPr>
      <t>c,m</t>
    </r>
  </si>
  <si>
    <t>Cohesion</t>
  </si>
  <si>
    <t>Interface</t>
  </si>
  <si>
    <t>c</t>
  </si>
  <si>
    <t>Coefficient of friction</t>
  </si>
  <si>
    <t>μ</t>
  </si>
  <si>
    <t>Exact value</t>
  </si>
  <si>
    <t>Rounded value</t>
  </si>
  <si>
    <t>Young's modulus in grain direction</t>
  </si>
  <si>
    <t>Young's modulus perpendicular to grain direction</t>
  </si>
  <si>
    <r>
      <t>E</t>
    </r>
    <r>
      <rPr>
        <vertAlign val="subscript"/>
        <sz val="11"/>
        <color theme="1"/>
        <rFont val="Arial"/>
        <family val="2"/>
        <scheme val="minor"/>
      </rPr>
      <t>m,0</t>
    </r>
  </si>
  <si>
    <r>
      <t>E</t>
    </r>
    <r>
      <rPr>
        <vertAlign val="subscript"/>
        <sz val="11"/>
        <color theme="1"/>
        <rFont val="Arial"/>
        <family val="2"/>
        <scheme val="minor"/>
      </rPr>
      <t>m,90</t>
    </r>
  </si>
  <si>
    <t>Equivalent properties (span direction)</t>
  </si>
  <si>
    <r>
      <t>Avx [m</t>
    </r>
    <r>
      <rPr>
        <b/>
        <vertAlign val="superscript"/>
        <sz val="11"/>
        <color theme="3"/>
        <rFont val="Arial"/>
        <family val="2"/>
        <scheme val="minor"/>
      </rPr>
      <t>2</t>
    </r>
    <r>
      <rPr>
        <b/>
        <sz val="11"/>
        <color theme="3"/>
        <rFont val="Arial"/>
        <family val="2"/>
        <scheme val="minor"/>
      </rPr>
      <t>]</t>
    </r>
  </si>
  <si>
    <r>
      <t>Asx[m</t>
    </r>
    <r>
      <rPr>
        <b/>
        <vertAlign val="superscript"/>
        <sz val="11"/>
        <color theme="3"/>
        <rFont val="Arial"/>
        <family val="2"/>
        <scheme val="minor"/>
      </rPr>
      <t>2</t>
    </r>
    <r>
      <rPr>
        <b/>
        <sz val="11"/>
        <color theme="3"/>
        <rFont val="Arial"/>
        <family val="2"/>
        <scheme val="minor"/>
      </rPr>
      <t>]</t>
    </r>
  </si>
  <si>
    <r>
      <t>Avy [m</t>
    </r>
    <r>
      <rPr>
        <b/>
        <vertAlign val="superscript"/>
        <sz val="11"/>
        <color theme="3"/>
        <rFont val="Arial"/>
        <family val="2"/>
        <scheme val="minor"/>
      </rPr>
      <t>2</t>
    </r>
    <r>
      <rPr>
        <b/>
        <sz val="11"/>
        <color theme="3"/>
        <rFont val="Arial"/>
        <family val="2"/>
        <scheme val="minor"/>
      </rPr>
      <t>]</t>
    </r>
  </si>
  <si>
    <r>
      <t>Asy [m</t>
    </r>
    <r>
      <rPr>
        <b/>
        <vertAlign val="superscript"/>
        <sz val="11"/>
        <color theme="3"/>
        <rFont val="Arial"/>
        <family val="2"/>
        <scheme val="minor"/>
      </rPr>
      <t>2</t>
    </r>
    <r>
      <rPr>
        <b/>
        <sz val="11"/>
        <color theme="3"/>
        <rFont val="Arial"/>
        <family val="2"/>
        <scheme val="minor"/>
      </rPr>
      <t>]</t>
    </r>
  </si>
  <si>
    <t>Avx/Asx [-]</t>
  </si>
  <si>
    <t>Avy/Asy [-]</t>
  </si>
  <si>
    <t>Eeqx [Pa]</t>
  </si>
  <si>
    <t>Eeqy [Pa]</t>
  </si>
  <si>
    <t>Equivalent properties perpendicular to span direction</t>
  </si>
  <si>
    <t>Floor masses</t>
  </si>
  <si>
    <t>$node</t>
  </si>
  <si>
    <t># Ground floor nodes</t>
  </si>
  <si>
    <t>node</t>
  </si>
  <si>
    <t>tag</t>
  </si>
  <si>
    <t>#node</t>
  </si>
  <si>
    <t>$X</t>
  </si>
  <si>
    <t>$Y</t>
  </si>
  <si>
    <t>$Z</t>
  </si>
  <si>
    <t>West facade</t>
  </si>
  <si>
    <t>South facade</t>
  </si>
  <si>
    <t>East facade</t>
  </si>
  <si>
    <t>Noth facade</t>
  </si>
  <si>
    <t>Total length</t>
  </si>
  <si>
    <t xml:space="preserve">Total width </t>
  </si>
  <si>
    <t>m</t>
  </si>
  <si>
    <t>Mass of total roof</t>
  </si>
  <si>
    <t>Surface mass</t>
  </si>
  <si>
    <t>Suface of roof</t>
  </si>
  <si>
    <r>
      <t>kg/m</t>
    </r>
    <r>
      <rPr>
        <vertAlign val="superscript"/>
        <sz val="11"/>
        <color theme="1"/>
        <rFont val="Arial"/>
        <family val="2"/>
        <scheme val="minor"/>
      </rPr>
      <t>2</t>
    </r>
  </si>
  <si>
    <r>
      <t>m</t>
    </r>
    <r>
      <rPr>
        <vertAlign val="superscript"/>
        <sz val="11"/>
        <color theme="1"/>
        <rFont val="Arial"/>
        <family val="2"/>
        <scheme val="minor"/>
      </rPr>
      <t>2</t>
    </r>
  </si>
  <si>
    <t>Mass of roof</t>
  </si>
  <si>
    <t xml:space="preserve">kg </t>
  </si>
  <si>
    <t>kg</t>
  </si>
  <si>
    <t>Mass on N facade</t>
  </si>
  <si>
    <t>Mass on S facade</t>
  </si>
  <si>
    <t>Mass on E facade</t>
  </si>
  <si>
    <t>Mass on W facade</t>
  </si>
  <si>
    <t>Influence length</t>
  </si>
  <si>
    <t>Nodal mass</t>
  </si>
  <si>
    <t>equalDOF</t>
  </si>
  <si>
    <t>#fix</t>
  </si>
  <si>
    <t>#section</t>
  </si>
  <si>
    <t>N/m</t>
  </si>
  <si>
    <t>N</t>
  </si>
  <si>
    <t>rigidLink</t>
  </si>
  <si>
    <t>Fert slab</t>
  </si>
  <si>
    <t>Filling material</t>
  </si>
  <si>
    <t>"-"</t>
  </si>
  <si>
    <t>Influence width EW</t>
  </si>
  <si>
    <t>Influence width NS</t>
  </si>
  <si>
    <t>Dimensions</t>
  </si>
  <si>
    <t>Surface column North</t>
  </si>
  <si>
    <t>Surface column South</t>
  </si>
  <si>
    <t>m^2</t>
  </si>
  <si>
    <t>Center nodes</t>
  </si>
  <si>
    <t>Total mass</t>
  </si>
  <si>
    <t>Difference to real mass</t>
  </si>
  <si>
    <t>t [m]</t>
  </si>
  <si>
    <t>Thickness of filling material at centre</t>
  </si>
  <si>
    <t>variable</t>
  </si>
  <si>
    <t>M tot [kg]</t>
  </si>
  <si>
    <t>#Irregularities in walls</t>
  </si>
  <si>
    <t>beam</t>
  </si>
  <si>
    <t>#Fictitious NODES</t>
  </si>
  <si>
    <t>#$element</t>
  </si>
  <si>
    <t>$eleTag</t>
  </si>
  <si>
    <t>$nodeI</t>
  </si>
  <si>
    <t>$nodeJ</t>
  </si>
  <si>
    <t>$A</t>
  </si>
  <si>
    <t>$J</t>
  </si>
  <si>
    <t>$Iy</t>
  </si>
  <si>
    <t>$Iz</t>
  </si>
  <si>
    <t>$transfTag</t>
  </si>
  <si>
    <t>elasticBeamColumn</t>
  </si>
  <si>
    <t>#$elasticBeamColumn</t>
  </si>
  <si>
    <t>$Eelement</t>
  </si>
  <si>
    <t>bar</t>
  </si>
  <si>
    <t># Ring beam elements-------------------------------------------------------------------------------</t>
  </si>
  <si>
    <t># END Ring beam elements-------------------------------------------------------------------------------</t>
  </si>
  <si>
    <t>#load</t>
  </si>
  <si>
    <t>$nodeTag</t>
  </si>
  <si>
    <t>load</t>
  </si>
  <si>
    <t>$FX</t>
  </si>
  <si>
    <t>$FY</t>
  </si>
  <si>
    <t>$FZ</t>
  </si>
  <si>
    <t>$RX</t>
  </si>
  <si>
    <t xml:space="preserve">$RY </t>
  </si>
  <si>
    <t>$RZ</t>
  </si>
  <si>
    <t># Middle nodes</t>
  </si>
  <si>
    <t>Elements</t>
  </si>
  <si>
    <t># Beam corners</t>
  </si>
  <si>
    <t>Total from OpenSees</t>
  </si>
  <si>
    <t>Difference</t>
  </si>
  <si>
    <t>Wall 1</t>
  </si>
  <si>
    <t>Floor nodes</t>
  </si>
  <si>
    <t>Element masses</t>
  </si>
  <si>
    <t>Percentage</t>
  </si>
  <si>
    <t>Wall 2</t>
  </si>
  <si>
    <t>Wall 3</t>
  </si>
  <si>
    <t>Wall 4</t>
  </si>
  <si>
    <t>Wall 5</t>
  </si>
  <si>
    <t>Wall 6</t>
  </si>
  <si>
    <t>Wall 7</t>
  </si>
  <si>
    <t>Wall 8</t>
  </si>
  <si>
    <t>Wall 9</t>
  </si>
  <si>
    <t>Wall 10</t>
  </si>
  <si>
    <t>All walls</t>
  </si>
  <si>
    <t>Wall</t>
  </si>
  <si>
    <t xml:space="preserve"> </t>
  </si>
  <si>
    <t>Node</t>
  </si>
  <si>
    <t>Floor 1</t>
  </si>
  <si>
    <r>
      <t>A [m</t>
    </r>
    <r>
      <rPr>
        <b/>
        <vertAlign val="superscript"/>
        <sz val="11"/>
        <color theme="3"/>
        <rFont val="Arial"/>
        <family val="2"/>
        <scheme val="minor"/>
      </rPr>
      <t>2</t>
    </r>
    <r>
      <rPr>
        <b/>
        <sz val="11"/>
        <color theme="3"/>
        <rFont val="Arial"/>
        <family val="2"/>
        <scheme val="minor"/>
      </rPr>
      <t>]</t>
    </r>
  </si>
  <si>
    <t>Floor 2</t>
  </si>
  <si>
    <r>
      <t>Additional surface [m</t>
    </r>
    <r>
      <rPr>
        <b/>
        <vertAlign val="superscript"/>
        <sz val="11"/>
        <color theme="3"/>
        <rFont val="Arial"/>
        <family val="2"/>
        <scheme val="minor"/>
      </rPr>
      <t>2</t>
    </r>
    <r>
      <rPr>
        <b/>
        <sz val="11"/>
        <color theme="3"/>
        <rFont val="Arial"/>
        <family val="2"/>
        <scheme val="minor"/>
      </rPr>
      <t>]</t>
    </r>
  </si>
  <si>
    <r>
      <t>Surface load [kg/m</t>
    </r>
    <r>
      <rPr>
        <b/>
        <vertAlign val="superscript"/>
        <sz val="11"/>
        <color theme="3"/>
        <rFont val="Arial"/>
        <family val="2"/>
        <scheme val="minor"/>
      </rPr>
      <t>2</t>
    </r>
    <r>
      <rPr>
        <b/>
        <sz val="11"/>
        <color theme="3"/>
        <rFont val="Arial"/>
        <family val="2"/>
        <scheme val="minor"/>
      </rPr>
      <t>]</t>
    </r>
  </si>
  <si>
    <t>Total load [N]</t>
  </si>
  <si>
    <t>Fert</t>
  </si>
  <si>
    <t>Vault</t>
  </si>
  <si>
    <t>Loads</t>
  </si>
  <si>
    <t>Masses</t>
  </si>
  <si>
    <t>Sum of modelled loads</t>
  </si>
  <si>
    <r>
      <t>A gross [m</t>
    </r>
    <r>
      <rPr>
        <b/>
        <vertAlign val="superscript"/>
        <sz val="11"/>
        <color theme="3"/>
        <rFont val="Arial"/>
        <family val="2"/>
        <scheme val="minor"/>
      </rPr>
      <t>2</t>
    </r>
    <r>
      <rPr>
        <b/>
        <sz val="11"/>
        <color theme="3"/>
        <rFont val="Arial"/>
        <family val="2"/>
        <scheme val="minor"/>
      </rPr>
      <t>]</t>
    </r>
  </si>
  <si>
    <r>
      <t>A ellipsis [m</t>
    </r>
    <r>
      <rPr>
        <b/>
        <vertAlign val="superscript"/>
        <sz val="11"/>
        <color theme="3"/>
        <rFont val="Arial"/>
        <family val="2"/>
        <scheme val="minor"/>
      </rPr>
      <t>2</t>
    </r>
    <r>
      <rPr>
        <b/>
        <sz val="11"/>
        <color theme="3"/>
        <rFont val="Arial"/>
        <family val="2"/>
        <scheme val="minor"/>
      </rPr>
      <t>]</t>
    </r>
  </si>
  <si>
    <r>
      <t>A net [m</t>
    </r>
    <r>
      <rPr>
        <b/>
        <vertAlign val="superscript"/>
        <sz val="11"/>
        <color theme="3"/>
        <rFont val="Arial"/>
        <family val="2"/>
        <scheme val="minor"/>
      </rPr>
      <t>2</t>
    </r>
    <r>
      <rPr>
        <b/>
        <sz val="11"/>
        <color theme="3"/>
        <rFont val="Arial"/>
        <family val="2"/>
        <scheme val="minor"/>
      </rPr>
      <t>]</t>
    </r>
  </si>
  <si>
    <r>
      <t>V net [m</t>
    </r>
    <r>
      <rPr>
        <b/>
        <vertAlign val="superscript"/>
        <sz val="11"/>
        <color theme="3"/>
        <rFont val="Arial"/>
        <family val="2"/>
        <scheme val="minor"/>
      </rPr>
      <t>3</t>
    </r>
    <r>
      <rPr>
        <b/>
        <sz val="11"/>
        <color theme="3"/>
        <rFont val="Arial"/>
        <family val="2"/>
        <scheme val="minor"/>
      </rPr>
      <t>]</t>
    </r>
  </si>
  <si>
    <t>Material properties</t>
  </si>
  <si>
    <t>Node number</t>
  </si>
  <si>
    <t>X [kg]</t>
  </si>
  <si>
    <t>Y [kg]</t>
  </si>
  <si>
    <t>Z [kg]</t>
  </si>
  <si>
    <t>RX [kg*m]</t>
  </si>
  <si>
    <t>RY[kg*m]</t>
  </si>
  <si>
    <t>RZ [kg*m]</t>
  </si>
  <si>
    <t>Self-weight (loads)</t>
  </si>
  <si>
    <t>X [N]</t>
  </si>
  <si>
    <t>Y [N]</t>
  </si>
  <si>
    <t>Z [N]</t>
  </si>
  <si>
    <t>RX [N*m]</t>
  </si>
  <si>
    <t>RY[N*m]</t>
  </si>
  <si>
    <t>RZ [N*m]</t>
  </si>
  <si>
    <t>Fictitious nodes</t>
  </si>
  <si>
    <t>Assigned node*</t>
  </si>
  <si>
    <t>* Real node to which the load coming from the filling mass is assigned to for the case of fictitious nodes</t>
  </si>
  <si>
    <t>$betaTremuri</t>
  </si>
  <si>
    <t>Mechanism F</t>
  </si>
  <si>
    <t>Load from floors</t>
  </si>
  <si>
    <t>Load from filling material</t>
  </si>
  <si>
    <t>Second floor</t>
  </si>
  <si>
    <t>First floor</t>
  </si>
  <si>
    <t>Load from roof</t>
  </si>
  <si>
    <t>Loads for Notebook</t>
  </si>
  <si>
    <t>P1</t>
  </si>
  <si>
    <t>P2</t>
  </si>
  <si>
    <t>S2</t>
  </si>
  <si>
    <t>S1</t>
  </si>
  <si>
    <t>q</t>
  </si>
  <si>
    <t>Width of vault</t>
  </si>
  <si>
    <t>wv</t>
  </si>
  <si>
    <t>#Irregularities in walls-------------------------------------------------------------------------------</t>
  </si>
  <si>
    <t># END Irregularities in walls-------------------------------------------------------------------------------</t>
  </si>
  <si>
    <t>Elastic</t>
  </si>
  <si>
    <t>Mechanism G</t>
  </si>
  <si>
    <t>Influence widths</t>
  </si>
  <si>
    <t>Total load</t>
  </si>
  <si>
    <t>p</t>
  </si>
  <si>
    <t>s</t>
  </si>
  <si>
    <t>Linear load</t>
  </si>
  <si>
    <t>Widths of blocks</t>
  </si>
  <si>
    <t>Loads on blocks</t>
  </si>
  <si>
    <t>-secantDamping</t>
  </si>
  <si>
    <t>1 2</t>
  </si>
  <si>
    <t>1 2 3</t>
  </si>
  <si>
    <t>-driftS</t>
  </si>
  <si>
    <t>$driftS</t>
  </si>
  <si>
    <t>0.8</t>
  </si>
  <si>
    <t>-driftF</t>
  </si>
  <si>
    <t>$driftF</t>
  </si>
  <si>
    <t>0.0</t>
  </si>
  <si>
    <t>TCL definition of Nodes</t>
  </si>
  <si>
    <t>Date of export:</t>
  </si>
  <si>
    <t>To use in TCL:</t>
  </si>
  <si>
    <t>Depending on:</t>
  </si>
  <si>
    <t>Author:</t>
  </si>
  <si>
    <t>Aline F. Bönzli</t>
  </si>
  <si>
    <t>TCL definition of Macroelements</t>
  </si>
  <si>
    <t>Copy and paste the last column</t>
  </si>
  <si>
    <t>TCL definition of Sections for Membranes and Beams</t>
  </si>
  <si>
    <t>"Material properties", "Vaults above GF", "Slabs above FF"</t>
  </si>
  <si>
    <t>TCL definition of Shell elements</t>
  </si>
  <si>
    <t>TCL definition of Beam elements</t>
  </si>
  <si>
    <t>TCL definition of Supports and Constraints</t>
  </si>
  <si>
    <t>$rNodeTag</t>
  </si>
  <si>
    <t>$cNodeTag</t>
  </si>
  <si>
    <t>$dof1 $dof2…</t>
  </si>
  <si>
    <t>#rigidLink</t>
  </si>
  <si>
    <t>$type</t>
  </si>
  <si>
    <t>#WALL TO WALL CONNECTIONS</t>
  </si>
  <si>
    <t>TCL definition of Connections between elements</t>
  </si>
  <si>
    <t>TCL definition of Nodal masses</t>
  </si>
  <si>
    <t>TCL definition of the Self-weight</t>
  </si>
  <si>
    <t>Separate pages where masses of each contributor are calculated</t>
  </si>
  <si>
    <t>Separate pages where the self-weight of each contributor are calculated</t>
  </si>
  <si>
    <t>Use:</t>
  </si>
  <si>
    <t>Auto verification</t>
  </si>
  <si>
    <t>Separate pages where the self-weight and masses are calculated</t>
  </si>
  <si>
    <t>Bases definition of the Surface loads</t>
  </si>
  <si>
    <t>Used ase base for load and mass calculation</t>
  </si>
  <si>
    <r>
      <t>Slab above GF total [kg/m</t>
    </r>
    <r>
      <rPr>
        <b/>
        <vertAlign val="superscript"/>
        <sz val="11"/>
        <color theme="3"/>
        <rFont val="Arial"/>
        <family val="2"/>
        <scheme val="minor"/>
      </rPr>
      <t>2</t>
    </r>
    <r>
      <rPr>
        <b/>
        <sz val="11"/>
        <color theme="3"/>
        <rFont val="Arial"/>
        <family val="2"/>
        <scheme val="minor"/>
      </rPr>
      <t>]</t>
    </r>
  </si>
  <si>
    <r>
      <t>Slab above FF total [kg/m</t>
    </r>
    <r>
      <rPr>
        <b/>
        <vertAlign val="superscript"/>
        <sz val="11"/>
        <color theme="3"/>
        <rFont val="Arial"/>
        <family val="2"/>
        <scheme val="minor"/>
      </rPr>
      <t>2</t>
    </r>
    <r>
      <rPr>
        <b/>
        <sz val="11"/>
        <color theme="3"/>
        <rFont val="Arial"/>
        <family val="2"/>
        <scheme val="minor"/>
      </rPr>
      <t>]</t>
    </r>
  </si>
  <si>
    <r>
      <t>Total [kg/m</t>
    </r>
    <r>
      <rPr>
        <b/>
        <vertAlign val="superscript"/>
        <sz val="11"/>
        <color theme="3"/>
        <rFont val="Arial"/>
        <family val="2"/>
        <scheme val="minor"/>
      </rPr>
      <t>2</t>
    </r>
    <r>
      <rPr>
        <b/>
        <sz val="11"/>
        <color theme="3"/>
        <rFont val="Arial"/>
        <family val="2"/>
        <scheme val="minor"/>
      </rPr>
      <t>]</t>
    </r>
  </si>
  <si>
    <t>Bases definition of the Material properties</t>
  </si>
  <si>
    <t>Used ase base for element definitions</t>
  </si>
  <si>
    <t>Masses: Masses of nodal panels</t>
  </si>
  <si>
    <t>Masses: Masses from floor (live loads and dead loads)</t>
  </si>
  <si>
    <t>Bases: Surface loads</t>
  </si>
  <si>
    <t>Masses: Masses from roof (live loads and dead loads)</t>
  </si>
  <si>
    <t>Masses: Masses from filling material</t>
  </si>
  <si>
    <t>Loads: Loads of nodal panels</t>
  </si>
  <si>
    <t>Masses of nodal panels</t>
  </si>
  <si>
    <t>Loads: Loads from floor (live loads and dead loads)</t>
  </si>
  <si>
    <t>Used as a base for TCL Self-weight definitions</t>
  </si>
  <si>
    <t>Used as a base for TCL Mass definitions</t>
  </si>
  <si>
    <t>Loads: Loads from roof (live loads and dead loads)</t>
  </si>
  <si>
    <t>Loads: Loads from filling material</t>
  </si>
  <si>
    <t>Loads for out-of-plane mechanisms</t>
  </si>
  <si>
    <t>Used as values in OOP analysis</t>
  </si>
  <si>
    <t>Loads-sheets</t>
  </si>
  <si>
    <t>Properties: Equivalent properties of vaults to introduce as shells</t>
  </si>
  <si>
    <t>Bases: Material properties</t>
  </si>
  <si>
    <t>Properties: Shell properties for second floor slab</t>
  </si>
  <si>
    <t>Used as a base for TCL Shell definitions</t>
  </si>
  <si>
    <t>The last one is the concrete section</t>
  </si>
  <si>
    <t>Concrete / masonry</t>
  </si>
  <si>
    <t>Vault or FERT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</si>
</sst>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E+00"/>
    <numFmt numFmtId="166" formatCode="0.0000"/>
    <numFmt numFmtId="167" formatCode="0.0"/>
    <numFmt numFmtId="168" formatCode="0.000000"/>
  </numFmts>
  <fonts count="19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theme="1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vertAlign val="superscript"/>
      <sz val="11"/>
      <color theme="3"/>
      <name val="Arial"/>
      <family val="2"/>
      <scheme val="minor"/>
    </font>
    <font>
      <vertAlign val="superscript"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i/>
      <vertAlign val="superscript"/>
      <sz val="11"/>
      <color theme="1"/>
      <name val="Arial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3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3"/>
      <color rgb="FF413D3A"/>
      <name val="Arial"/>
      <family val="2"/>
      <scheme val="minor"/>
    </font>
    <font>
      <b/>
      <sz val="11"/>
      <color rgb="FF413D3A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</patternFill>
    </fill>
    <fill>
      <patternFill patternType="solid">
        <fgColor theme="3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theme="3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7"/>
      </bottom>
      <diagonal/>
    </border>
    <border>
      <left style="thin">
        <color indexed="64"/>
      </left>
      <right/>
      <top style="medium">
        <color theme="7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7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theme="7"/>
      </bottom>
      <diagonal/>
    </border>
  </borders>
  <cellStyleXfs count="8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6" fillId="7" borderId="0" applyNumberFormat="0" applyBorder="0" applyAlignment="0" applyProtection="0"/>
  </cellStyleXfs>
  <cellXfs count="153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165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  <xf numFmtId="164" fontId="0" fillId="0" borderId="3" xfId="0" applyNumberFormat="1" applyBorder="1" applyAlignment="1">
      <alignment vertical="center"/>
    </xf>
    <xf numFmtId="165" fontId="0" fillId="0" borderId="3" xfId="0" applyNumberFormat="1" applyBorder="1" applyAlignment="1">
      <alignment vertical="center"/>
    </xf>
    <xf numFmtId="0" fontId="2" fillId="4" borderId="3" xfId="3" applyFill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166" fontId="0" fillId="0" borderId="3" xfId="0" applyNumberFormat="1" applyBorder="1" applyAlignment="1">
      <alignment vertical="center"/>
    </xf>
    <xf numFmtId="166" fontId="0" fillId="0" borderId="3" xfId="0" applyNumberFormat="1" applyBorder="1" applyAlignment="1">
      <alignment vertical="center" wrapText="1"/>
    </xf>
    <xf numFmtId="0" fontId="0" fillId="0" borderId="0" xfId="0" applyAlignment="1">
      <alignment wrapText="1"/>
    </xf>
    <xf numFmtId="2" fontId="0" fillId="0" borderId="3" xfId="0" applyNumberFormat="1" applyBorder="1" applyAlignment="1">
      <alignment vertical="center"/>
    </xf>
    <xf numFmtId="167" fontId="0" fillId="0" borderId="3" xfId="0" applyNumberFormat="1" applyBorder="1" applyAlignment="1">
      <alignment vertical="center"/>
    </xf>
    <xf numFmtId="2" fontId="0" fillId="0" borderId="0" xfId="0" applyNumberFormat="1" applyAlignment="1">
      <alignment vertical="center"/>
    </xf>
    <xf numFmtId="167" fontId="0" fillId="0" borderId="0" xfId="0" applyNumberFormat="1" applyAlignment="1">
      <alignment vertical="center"/>
    </xf>
    <xf numFmtId="167" fontId="5" fillId="0" borderId="0" xfId="0" applyNumberFormat="1" applyFont="1" applyAlignment="1">
      <alignment vertical="center"/>
    </xf>
    <xf numFmtId="167" fontId="0" fillId="0" borderId="0" xfId="0" applyNumberFormat="1"/>
    <xf numFmtId="0" fontId="9" fillId="0" borderId="0" xfId="0" applyFont="1" applyAlignment="1">
      <alignment vertical="center"/>
    </xf>
    <xf numFmtId="167" fontId="9" fillId="0" borderId="0" xfId="0" applyNumberFormat="1" applyFont="1" applyAlignment="1">
      <alignment vertical="center"/>
    </xf>
    <xf numFmtId="0" fontId="9" fillId="0" borderId="0" xfId="0" applyFont="1" applyAlignment="1">
      <alignment horizontal="right" vertical="center"/>
    </xf>
    <xf numFmtId="1" fontId="0" fillId="0" borderId="0" xfId="0" applyNumberFormat="1"/>
    <xf numFmtId="0" fontId="11" fillId="0" borderId="0" xfId="0" applyFont="1"/>
    <xf numFmtId="2" fontId="0" fillId="0" borderId="4" xfId="0" applyNumberFormat="1" applyBorder="1" applyAlignment="1">
      <alignment vertical="center"/>
    </xf>
    <xf numFmtId="165" fontId="0" fillId="0" borderId="5" xfId="0" applyNumberFormat="1" applyBorder="1" applyAlignment="1">
      <alignment vertical="center"/>
    </xf>
    <xf numFmtId="165" fontId="0" fillId="0" borderId="9" xfId="0" applyNumberFormat="1" applyBorder="1" applyAlignment="1">
      <alignment vertical="center"/>
    </xf>
    <xf numFmtId="165" fontId="0" fillId="0" borderId="10" xfId="0" applyNumberFormat="1" applyBorder="1" applyAlignment="1">
      <alignment vertical="center"/>
    </xf>
    <xf numFmtId="165" fontId="0" fillId="0" borderId="11" xfId="0" applyNumberFormat="1" applyBorder="1" applyAlignment="1">
      <alignment vertical="center"/>
    </xf>
    <xf numFmtId="165" fontId="0" fillId="0" borderId="12" xfId="0" applyNumberFormat="1" applyBorder="1" applyAlignment="1">
      <alignment vertical="center"/>
    </xf>
    <xf numFmtId="165" fontId="0" fillId="0" borderId="13" xfId="0" applyNumberFormat="1" applyBorder="1" applyAlignment="1">
      <alignment vertical="center"/>
    </xf>
    <xf numFmtId="0" fontId="0" fillId="5" borderId="0" xfId="0" applyFill="1"/>
    <xf numFmtId="0" fontId="0" fillId="6" borderId="0" xfId="0" applyFill="1"/>
    <xf numFmtId="11" fontId="0" fillId="0" borderId="3" xfId="0" applyNumberFormat="1" applyBorder="1"/>
    <xf numFmtId="11" fontId="0" fillId="0" borderId="4" xfId="0" applyNumberFormat="1" applyBorder="1"/>
    <xf numFmtId="9" fontId="0" fillId="0" borderId="0" xfId="5" applyFont="1"/>
    <xf numFmtId="0" fontId="5" fillId="0" borderId="0" xfId="0" applyFont="1" applyAlignment="1">
      <alignment horizontal="right" vertical="center"/>
    </xf>
    <xf numFmtId="0" fontId="5" fillId="0" borderId="0" xfId="0" applyFont="1"/>
    <xf numFmtId="0" fontId="4" fillId="0" borderId="0" xfId="2" applyFill="1" applyBorder="1" applyAlignment="1">
      <alignment wrapText="1"/>
    </xf>
    <xf numFmtId="0" fontId="5" fillId="0" borderId="14" xfId="0" applyFont="1" applyBorder="1"/>
    <xf numFmtId="1" fontId="5" fillId="0" borderId="14" xfId="0" applyNumberFormat="1" applyFont="1" applyBorder="1"/>
    <xf numFmtId="1" fontId="5" fillId="0" borderId="0" xfId="0" applyNumberFormat="1" applyFont="1"/>
    <xf numFmtId="167" fontId="0" fillId="0" borderId="0" xfId="0" applyNumberFormat="1" applyAlignment="1">
      <alignment wrapText="1"/>
    </xf>
    <xf numFmtId="167" fontId="0" fillId="0" borderId="14" xfId="0" applyNumberFormat="1" applyBorder="1"/>
    <xf numFmtId="0" fontId="13" fillId="0" borderId="0" xfId="0" applyFont="1"/>
    <xf numFmtId="1" fontId="0" fillId="0" borderId="0" xfId="0" applyNumberFormat="1" applyAlignment="1">
      <alignment vertical="center"/>
    </xf>
    <xf numFmtId="1" fontId="0" fillId="0" borderId="3" xfId="0" applyNumberFormat="1" applyBorder="1" applyAlignment="1">
      <alignment vertical="center"/>
    </xf>
    <xf numFmtId="0" fontId="4" fillId="0" borderId="0" xfId="6"/>
    <xf numFmtId="0" fontId="14" fillId="0" borderId="0" xfId="6" applyFont="1"/>
    <xf numFmtId="2" fontId="5" fillId="0" borderId="0" xfId="0" applyNumberFormat="1" applyFont="1" applyAlignment="1">
      <alignment vertical="center"/>
    </xf>
    <xf numFmtId="14" fontId="0" fillId="0" borderId="0" xfId="0" applyNumberFormat="1" applyAlignment="1">
      <alignment horizontal="left"/>
    </xf>
    <xf numFmtId="0" fontId="3" fillId="0" borderId="1" xfId="1"/>
    <xf numFmtId="167" fontId="3" fillId="0" borderId="1" xfId="1" applyNumberFormat="1"/>
    <xf numFmtId="0" fontId="17" fillId="0" borderId="1" xfId="1" applyFont="1"/>
    <xf numFmtId="0" fontId="18" fillId="0" borderId="0" xfId="0" applyFont="1"/>
    <xf numFmtId="167" fontId="18" fillId="0" borderId="0" xfId="0" applyNumberFormat="1" applyFont="1"/>
    <xf numFmtId="49" fontId="18" fillId="0" borderId="0" xfId="0" applyNumberFormat="1" applyFont="1"/>
    <xf numFmtId="0" fontId="18" fillId="0" borderId="3" xfId="0" applyFont="1" applyBorder="1"/>
    <xf numFmtId="167" fontId="0" fillId="0" borderId="3" xfId="0" applyNumberFormat="1" applyBorder="1"/>
    <xf numFmtId="0" fontId="0" fillId="0" borderId="3" xfId="0" applyBorder="1"/>
    <xf numFmtId="2" fontId="0" fillId="0" borderId="3" xfId="0" applyNumberFormat="1" applyBorder="1"/>
    <xf numFmtId="1" fontId="0" fillId="0" borderId="3" xfId="0" applyNumberFormat="1" applyBorder="1"/>
    <xf numFmtId="164" fontId="0" fillId="0" borderId="3" xfId="0" applyNumberFormat="1" applyBorder="1"/>
    <xf numFmtId="167" fontId="0" fillId="0" borderId="3" xfId="0" quotePrefix="1" applyNumberFormat="1" applyBorder="1"/>
    <xf numFmtId="168" fontId="0" fillId="0" borderId="3" xfId="0" applyNumberFormat="1" applyBorder="1"/>
    <xf numFmtId="1" fontId="18" fillId="0" borderId="0" xfId="0" applyNumberFormat="1" applyFont="1"/>
    <xf numFmtId="0" fontId="18" fillId="0" borderId="0" xfId="0" applyFont="1" applyAlignment="1">
      <alignment vertical="center"/>
    </xf>
    <xf numFmtId="0" fontId="15" fillId="8" borderId="0" xfId="4" applyFont="1" applyFill="1" applyAlignment="1">
      <alignment vertical="center"/>
    </xf>
    <xf numFmtId="0" fontId="15" fillId="8" borderId="0" xfId="4" applyFont="1" applyFill="1"/>
    <xf numFmtId="1" fontId="0" fillId="0" borderId="17" xfId="0" applyNumberFormat="1" applyBorder="1"/>
    <xf numFmtId="0" fontId="5" fillId="0" borderId="18" xfId="0" applyFont="1" applyBorder="1"/>
    <xf numFmtId="1" fontId="0" fillId="0" borderId="19" xfId="0" applyNumberFormat="1" applyBorder="1"/>
    <xf numFmtId="0" fontId="0" fillId="0" borderId="8" xfId="0" applyBorder="1"/>
    <xf numFmtId="0" fontId="5" fillId="0" borderId="20" xfId="0" applyFont="1" applyBorder="1"/>
    <xf numFmtId="0" fontId="0" fillId="0" borderId="21" xfId="0" applyBorder="1"/>
    <xf numFmtId="0" fontId="5" fillId="0" borderId="22" xfId="0" applyFont="1" applyBorder="1"/>
    <xf numFmtId="9" fontId="0" fillId="0" borderId="23" xfId="5" applyFont="1" applyBorder="1"/>
    <xf numFmtId="0" fontId="0" fillId="0" borderId="24" xfId="0" applyBorder="1"/>
    <xf numFmtId="0" fontId="4" fillId="0" borderId="0" xfId="0" applyFont="1" applyAlignment="1">
      <alignment vertical="center"/>
    </xf>
    <xf numFmtId="0" fontId="4" fillId="0" borderId="0" xfId="0" applyFont="1"/>
    <xf numFmtId="167" fontId="0" fillId="0" borderId="3" xfId="0" applyNumberFormat="1" applyBorder="1" applyAlignment="1">
      <alignment wrapText="1"/>
    </xf>
    <xf numFmtId="1" fontId="0" fillId="0" borderId="16" xfId="0" applyNumberFormat="1" applyBorder="1"/>
    <xf numFmtId="167" fontId="0" fillId="0" borderId="16" xfId="0" applyNumberFormat="1" applyBorder="1"/>
    <xf numFmtId="167" fontId="0" fillId="0" borderId="16" xfId="0" applyNumberFormat="1" applyBorder="1" applyAlignment="1">
      <alignment wrapText="1"/>
    </xf>
    <xf numFmtId="0" fontId="17" fillId="0" borderId="25" xfId="1" applyFont="1" applyBorder="1"/>
    <xf numFmtId="0" fontId="3" fillId="0" borderId="25" xfId="1" applyBorder="1"/>
    <xf numFmtId="167" fontId="3" fillId="0" borderId="25" xfId="1" applyNumberFormat="1" applyBorder="1"/>
    <xf numFmtId="0" fontId="15" fillId="7" borderId="0" xfId="7" applyFont="1" applyAlignment="1">
      <alignment vertical="center"/>
    </xf>
    <xf numFmtId="0" fontId="15" fillId="7" borderId="0" xfId="7" applyFont="1"/>
    <xf numFmtId="0" fontId="5" fillId="6" borderId="0" xfId="3" applyFont="1" applyFill="1" applyAlignment="1">
      <alignment vertical="center"/>
    </xf>
    <xf numFmtId="0" fontId="5" fillId="6" borderId="0" xfId="3" applyFont="1" applyFill="1"/>
    <xf numFmtId="0" fontId="0" fillId="0" borderId="26" xfId="0" applyBorder="1" applyAlignment="1">
      <alignment vertical="center"/>
    </xf>
    <xf numFmtId="0" fontId="0" fillId="0" borderId="26" xfId="0" applyBorder="1" applyAlignment="1">
      <alignment vertical="center" wrapText="1"/>
    </xf>
    <xf numFmtId="2" fontId="0" fillId="0" borderId="26" xfId="0" applyNumberFormat="1" applyBorder="1" applyAlignment="1">
      <alignment vertical="center"/>
    </xf>
    <xf numFmtId="167" fontId="0" fillId="0" borderId="26" xfId="0" applyNumberFormat="1" applyBorder="1" applyAlignment="1">
      <alignment vertical="center"/>
    </xf>
    <xf numFmtId="0" fontId="17" fillId="0" borderId="27" xfId="1" applyFont="1" applyBorder="1"/>
    <xf numFmtId="0" fontId="3" fillId="0" borderId="27" xfId="1" applyBorder="1"/>
    <xf numFmtId="167" fontId="3" fillId="0" borderId="27" xfId="1" applyNumberFormat="1" applyBorder="1"/>
    <xf numFmtId="0" fontId="0" fillId="0" borderId="27" xfId="0" applyBorder="1"/>
    <xf numFmtId="0" fontId="4" fillId="0" borderId="27" xfId="2" applyBorder="1" applyAlignment="1">
      <alignment wrapText="1"/>
    </xf>
    <xf numFmtId="0" fontId="0" fillId="0" borderId="27" xfId="0" applyBorder="1" applyAlignment="1">
      <alignment wrapText="1"/>
    </xf>
    <xf numFmtId="167" fontId="4" fillId="0" borderId="0" xfId="0" applyNumberFormat="1" applyFont="1" applyAlignment="1">
      <alignment vertical="center"/>
    </xf>
    <xf numFmtId="0" fontId="11" fillId="0" borderId="3" xfId="0" applyFont="1" applyBorder="1"/>
    <xf numFmtId="0" fontId="0" fillId="0" borderId="29" xfId="0" applyBorder="1"/>
    <xf numFmtId="167" fontId="0" fillId="0" borderId="28" xfId="0" applyNumberFormat="1" applyBorder="1"/>
    <xf numFmtId="167" fontId="0" fillId="0" borderId="29" xfId="0" applyNumberFormat="1" applyBorder="1"/>
    <xf numFmtId="0" fontId="0" fillId="0" borderId="3" xfId="0" applyBorder="1" applyAlignment="1">
      <alignment wrapText="1"/>
    </xf>
    <xf numFmtId="0" fontId="4" fillId="0" borderId="27" xfId="2" applyBorder="1" applyAlignment="1"/>
    <xf numFmtId="0" fontId="0" fillId="0" borderId="3" xfId="5" applyNumberFormat="1" applyFont="1" applyBorder="1"/>
    <xf numFmtId="10" fontId="0" fillId="0" borderId="3" xfId="0" applyNumberFormat="1" applyBorder="1"/>
    <xf numFmtId="1" fontId="4" fillId="0" borderId="0" xfId="0" applyNumberFormat="1" applyFont="1"/>
    <xf numFmtId="167" fontId="4" fillId="0" borderId="0" xfId="0" applyNumberFormat="1" applyFont="1"/>
    <xf numFmtId="0" fontId="14" fillId="0" borderId="0" xfId="0" applyFont="1"/>
    <xf numFmtId="2" fontId="14" fillId="0" borderId="0" xfId="0" applyNumberFormat="1" applyFont="1" applyAlignment="1">
      <alignment vertical="center"/>
    </xf>
    <xf numFmtId="0" fontId="4" fillId="0" borderId="0" xfId="0" applyFont="1" applyAlignment="1">
      <alignment horizontal="left"/>
    </xf>
    <xf numFmtId="167" fontId="14" fillId="0" borderId="0" xfId="0" applyNumberFormat="1" applyFont="1"/>
    <xf numFmtId="167" fontId="14" fillId="0" borderId="0" xfId="0" applyNumberFormat="1" applyFont="1" applyAlignment="1">
      <alignment vertical="center"/>
    </xf>
    <xf numFmtId="2" fontId="4" fillId="0" borderId="3" xfId="0" applyNumberFormat="1" applyFont="1" applyBorder="1" applyAlignment="1">
      <alignment vertical="center"/>
    </xf>
    <xf numFmtId="1" fontId="4" fillId="0" borderId="3" xfId="0" applyNumberFormat="1" applyFont="1" applyBorder="1" applyAlignment="1">
      <alignment vertical="center"/>
    </xf>
    <xf numFmtId="167" fontId="4" fillId="0" borderId="3" xfId="0" applyNumberFormat="1" applyFont="1" applyBorder="1"/>
    <xf numFmtId="0" fontId="4" fillId="0" borderId="3" xfId="0" applyFont="1" applyBorder="1"/>
    <xf numFmtId="1" fontId="4" fillId="0" borderId="3" xfId="0" applyNumberFormat="1" applyFont="1" applyBorder="1"/>
    <xf numFmtId="0" fontId="4" fillId="0" borderId="30" xfId="2" applyBorder="1" applyAlignment="1"/>
    <xf numFmtId="165" fontId="0" fillId="6" borderId="3" xfId="0" applyNumberFormat="1" applyFill="1" applyBorder="1" applyAlignment="1">
      <alignment vertical="center"/>
    </xf>
    <xf numFmtId="165" fontId="0" fillId="6" borderId="5" xfId="0" applyNumberFormat="1" applyFill="1" applyBorder="1" applyAlignment="1">
      <alignment vertical="center"/>
    </xf>
    <xf numFmtId="0" fontId="0" fillId="6" borderId="3" xfId="0" applyFill="1" applyBorder="1"/>
    <xf numFmtId="0" fontId="0" fillId="6" borderId="3" xfId="0" applyFill="1" applyBorder="1" applyAlignment="1">
      <alignment vertical="center"/>
    </xf>
    <xf numFmtId="0" fontId="0" fillId="6" borderId="3" xfId="0" applyFill="1" applyBorder="1" applyAlignment="1">
      <alignment vertical="center" wrapText="1"/>
    </xf>
    <xf numFmtId="0" fontId="0" fillId="5" borderId="3" xfId="0" applyFill="1" applyBorder="1"/>
    <xf numFmtId="0" fontId="0" fillId="5" borderId="3" xfId="0" applyFill="1" applyBorder="1" applyAlignment="1">
      <alignment vertical="center"/>
    </xf>
    <xf numFmtId="0" fontId="0" fillId="5" borderId="3" xfId="0" applyFill="1" applyBorder="1" applyAlignment="1">
      <alignment vertical="center" wrapText="1"/>
    </xf>
    <xf numFmtId="0" fontId="18" fillId="5" borderId="0" xfId="3" applyFont="1" applyFill="1"/>
    <xf numFmtId="167" fontId="0" fillId="5" borderId="0" xfId="0" applyNumberFormat="1" applyFill="1"/>
    <xf numFmtId="14" fontId="0" fillId="0" borderId="0" xfId="0" applyNumberFormat="1" applyAlignment="1">
      <alignment horizontal="left"/>
    </xf>
    <xf numFmtId="0" fontId="5" fillId="0" borderId="15" xfId="0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right" vertical="center"/>
    </xf>
    <xf numFmtId="167" fontId="0" fillId="0" borderId="3" xfId="0" applyNumberFormat="1" applyBorder="1" applyAlignment="1">
      <alignment horizont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65" fontId="0" fillId="0" borderId="0" xfId="0" applyNumberFormat="1" applyAlignment="1">
      <alignment horizontal="center" vertical="center"/>
    </xf>
  </cellXfs>
  <cellStyles count="8">
    <cellStyle name="20 % - Akzent1" xfId="3" builtinId="30"/>
    <cellStyle name="40 % - Akzent1" xfId="4" builtinId="31"/>
    <cellStyle name="Akzent4" xfId="7" builtinId="41"/>
    <cellStyle name="Prozent" xfId="5" builtinId="5"/>
    <cellStyle name="Standard" xfId="0" builtinId="0"/>
    <cellStyle name="Überschrift 2" xfId="1" builtinId="17"/>
    <cellStyle name="Überschrift 3" xfId="2" builtinId="18"/>
    <cellStyle name="Überschrift 4" xfId="6" builtinId="19"/>
  </cellStyles>
  <dxfs count="0"/>
  <tableStyles count="0" defaultTableStyle="TableStyleMedium2" defaultPivotStyle="PivotStyleLight16"/>
  <colors>
    <mruColors>
      <color rgb="FF00C5DB"/>
      <color rgb="FF413D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381000</xdr:colOff>
      <xdr:row>110</xdr:row>
      <xdr:rowOff>0</xdr:rowOff>
    </xdr:from>
    <xdr:to>
      <xdr:col>30</xdr:col>
      <xdr:colOff>488002</xdr:colOff>
      <xdr:row>153</xdr:row>
      <xdr:rowOff>139993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6DE2253-944A-4679-8D08-E931AC471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50" y="17497425"/>
          <a:ext cx="6580827" cy="52980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120650</xdr:rowOff>
    </xdr:to>
    <xdr:sp macro="" textlink="">
      <xdr:nvSpPr>
        <xdr:cNvPr id="3" name="AutoShape 1" descr="Untitled">
          <a:extLst>
            <a:ext uri="{FF2B5EF4-FFF2-40B4-BE49-F238E27FC236}">
              <a16:creationId xmlns:a16="http://schemas.microsoft.com/office/drawing/2014/main" id="{104A46AB-366D-4442-BF1D-C45D68D1D347}"/>
            </a:ext>
          </a:extLst>
        </xdr:cNvPr>
        <xdr:cNvSpPr>
          <a:spLocks noChangeAspect="1" noChangeArrowheads="1"/>
        </xdr:cNvSpPr>
      </xdr:nvSpPr>
      <xdr:spPr bwMode="auto">
        <a:xfrm>
          <a:off x="0" y="723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120650</xdr:rowOff>
    </xdr:to>
    <xdr:sp macro="" textlink="">
      <xdr:nvSpPr>
        <xdr:cNvPr id="3" name="AutoShape 1" descr="Untitled">
          <a:extLst>
            <a:ext uri="{FF2B5EF4-FFF2-40B4-BE49-F238E27FC236}">
              <a16:creationId xmlns:a16="http://schemas.microsoft.com/office/drawing/2014/main" id="{2E9B2E95-F933-415F-AAC5-A6E321BF8AF7}"/>
            </a:ext>
          </a:extLst>
        </xdr:cNvPr>
        <xdr:cNvSpPr>
          <a:spLocks noChangeAspect="1" noChangeArrowheads="1"/>
        </xdr:cNvSpPr>
      </xdr:nvSpPr>
      <xdr:spPr bwMode="auto">
        <a:xfrm>
          <a:off x="1879600" y="79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EPFL">
      <a:dk1>
        <a:sysClr val="windowText" lastClr="000000"/>
      </a:dk1>
      <a:lt1>
        <a:sysClr val="window" lastClr="FFFFFF"/>
      </a:lt1>
      <a:dk2>
        <a:srgbClr val="413D3A"/>
      </a:dk2>
      <a:lt2>
        <a:srgbClr val="CAC7C7"/>
      </a:lt2>
      <a:accent1>
        <a:srgbClr val="FF0000"/>
      </a:accent1>
      <a:accent2>
        <a:srgbClr val="B51F1F"/>
      </a:accent2>
      <a:accent3>
        <a:srgbClr val="00A79F"/>
      </a:accent3>
      <a:accent4>
        <a:srgbClr val="007480"/>
      </a:accent4>
      <a:accent5>
        <a:srgbClr val="FF0000"/>
      </a:accent5>
      <a:accent6>
        <a:srgbClr val="B51F1F"/>
      </a:accent6>
      <a:hlink>
        <a:srgbClr val="00A79F"/>
      </a:hlink>
      <a:folHlink>
        <a:srgbClr val="0074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328B-8CC6-4CC9-AB66-81360937C2C9}">
  <sheetPr>
    <tabColor theme="4"/>
  </sheetPr>
  <dimension ref="A1:I244"/>
  <sheetViews>
    <sheetView view="pageLayout" zoomScaleNormal="100" workbookViewId="0">
      <selection activeCell="G4" sqref="G4"/>
    </sheetView>
  </sheetViews>
  <sheetFormatPr baseColWidth="10" defaultColWidth="10.6640625" defaultRowHeight="14" x14ac:dyDescent="0.3"/>
  <cols>
    <col min="1" max="1" width="20.58203125" bestFit="1" customWidth="1"/>
    <col min="2" max="2" width="3.75" bestFit="1" customWidth="1"/>
    <col min="3" max="4" width="5.25" style="25" bestFit="1" customWidth="1"/>
    <col min="5" max="5" width="4.25" style="25" bestFit="1" customWidth="1"/>
    <col min="6" max="6" width="29.1640625" bestFit="1" customWidth="1"/>
  </cols>
  <sheetData>
    <row r="1" spans="1:6" ht="17" thickBot="1" x14ac:dyDescent="0.4">
      <c r="A1" s="60" t="s">
        <v>374</v>
      </c>
      <c r="B1" s="58"/>
      <c r="C1" s="59"/>
      <c r="D1" s="59"/>
      <c r="E1" s="59"/>
      <c r="F1" s="58"/>
    </row>
    <row r="2" spans="1:6" ht="14.5" thickTop="1" x14ac:dyDescent="0.3">
      <c r="A2" s="61" t="s">
        <v>378</v>
      </c>
      <c r="B2" t="s">
        <v>379</v>
      </c>
    </row>
    <row r="3" spans="1:6" x14ac:dyDescent="0.3">
      <c r="A3" s="61" t="s">
        <v>375</v>
      </c>
      <c r="B3" s="140">
        <f ca="1">TODAY()</f>
        <v>45304</v>
      </c>
      <c r="C3" s="140"/>
      <c r="D3" s="140"/>
    </row>
    <row r="4" spans="1:6" x14ac:dyDescent="0.3">
      <c r="A4" s="61" t="s">
        <v>376</v>
      </c>
      <c r="B4" t="s">
        <v>381</v>
      </c>
    </row>
    <row r="5" spans="1:6" x14ac:dyDescent="0.3">
      <c r="A5" s="61" t="s">
        <v>377</v>
      </c>
      <c r="B5" t="s">
        <v>177</v>
      </c>
    </row>
    <row r="7" spans="1:6" x14ac:dyDescent="0.3">
      <c r="A7" s="64" t="s">
        <v>210</v>
      </c>
      <c r="B7" s="64" t="s">
        <v>209</v>
      </c>
      <c r="C7" s="64" t="s">
        <v>211</v>
      </c>
      <c r="D7" s="64" t="s">
        <v>212</v>
      </c>
      <c r="E7" s="64" t="s">
        <v>213</v>
      </c>
      <c r="F7" s="64" t="str">
        <f>TRIM(_xlfn.TEXTJOIN(CHAR(9),TRUE,A7:E7))</f>
        <v>#node	tag	$X	$Y	$Z</v>
      </c>
    </row>
    <row r="8" spans="1:6" x14ac:dyDescent="0.3">
      <c r="A8" s="65" t="s">
        <v>208</v>
      </c>
      <c r="B8" s="66">
        <v>1</v>
      </c>
      <c r="C8" s="67">
        <v>0</v>
      </c>
      <c r="D8" s="67">
        <v>0</v>
      </c>
      <c r="E8" s="67">
        <v>6.1</v>
      </c>
      <c r="F8" s="66" t="str" cm="1">
        <f t="array" ref="F8">TRIM(_xlfn.TEXTJOIN(CHAR(9),TRUE,A8:B8, TEXT(ROUND(C8:E8,3),"0.000")))</f>
        <v>node	1	0.000	0.000	6.100</v>
      </c>
    </row>
    <row r="9" spans="1:6" x14ac:dyDescent="0.3">
      <c r="A9" s="66" t="s">
        <v>208</v>
      </c>
      <c r="B9" s="66">
        <v>2</v>
      </c>
      <c r="C9" s="67">
        <v>5.18</v>
      </c>
      <c r="D9" s="67">
        <v>0</v>
      </c>
      <c r="E9" s="67">
        <v>6.1</v>
      </c>
      <c r="F9" s="66" t="str" cm="1">
        <f t="array" ref="F9">TRIM(_xlfn.TEXTJOIN(CHAR(9),TRUE,A9:B9, TEXT(ROUND(C9:E9,3),"0.000")))</f>
        <v>node	2	5.180	0.000	6.100</v>
      </c>
    </row>
    <row r="10" spans="1:6" x14ac:dyDescent="0.3">
      <c r="A10" s="66" t="s">
        <v>208</v>
      </c>
      <c r="B10" s="66">
        <v>3</v>
      </c>
      <c r="C10" s="67">
        <v>8.58</v>
      </c>
      <c r="D10" s="67">
        <v>0</v>
      </c>
      <c r="E10" s="67">
        <v>6.1</v>
      </c>
      <c r="F10" s="66" t="str" cm="1">
        <f t="array" ref="F10">TRIM(_xlfn.TEXTJOIN(CHAR(9),TRUE,A10:B10, TEXT(ROUND(C10:E10,3),"0.000")))</f>
        <v>node	3	8.580	0.000	6.100</v>
      </c>
    </row>
    <row r="11" spans="1:6" x14ac:dyDescent="0.3">
      <c r="A11" s="66" t="s">
        <v>208</v>
      </c>
      <c r="B11" s="66">
        <v>5</v>
      </c>
      <c r="C11" s="67">
        <v>11.98</v>
      </c>
      <c r="D11" s="67">
        <v>0</v>
      </c>
      <c r="E11" s="67">
        <v>6.1</v>
      </c>
      <c r="F11" s="66" t="str" cm="1">
        <f t="array" ref="F11">TRIM(_xlfn.TEXTJOIN(CHAR(9),TRUE,A11:B11, TEXT(ROUND(C11:E11,3),"0.000")))</f>
        <v>node	5	11.980	0.000	6.100</v>
      </c>
    </row>
    <row r="12" spans="1:6" x14ac:dyDescent="0.3">
      <c r="A12" s="66" t="s">
        <v>208</v>
      </c>
      <c r="B12" s="66">
        <v>6</v>
      </c>
      <c r="C12" s="67">
        <v>17.149999999999999</v>
      </c>
      <c r="D12" s="67">
        <v>0</v>
      </c>
      <c r="E12" s="67">
        <v>6.1</v>
      </c>
      <c r="F12" s="66" t="str" cm="1">
        <f t="array" ref="F12">TRIM(_xlfn.TEXTJOIN(CHAR(9),TRUE,A12:B12, TEXT(ROUND(C12:E12,3),"0.000")))</f>
        <v>node	6	17.150	0.000	6.100</v>
      </c>
    </row>
    <row r="13" spans="1:6" x14ac:dyDescent="0.3">
      <c r="A13" s="66" t="s">
        <v>208</v>
      </c>
      <c r="B13" s="66">
        <v>7</v>
      </c>
      <c r="C13" s="67">
        <v>0</v>
      </c>
      <c r="D13" s="67">
        <v>0</v>
      </c>
      <c r="E13" s="67">
        <v>2.7</v>
      </c>
      <c r="F13" s="66" t="str" cm="1">
        <f t="array" ref="F13">TRIM(_xlfn.TEXTJOIN(CHAR(9),TRUE,A13:B13, TEXT(ROUND(C13:E13,3),"0.000")))</f>
        <v>node	7	0.000	0.000	2.700</v>
      </c>
    </row>
    <row r="14" spans="1:6" x14ac:dyDescent="0.3">
      <c r="A14" s="66" t="s">
        <v>208</v>
      </c>
      <c r="B14" s="66">
        <v>8</v>
      </c>
      <c r="C14" s="67">
        <v>5.18</v>
      </c>
      <c r="D14" s="67">
        <v>0</v>
      </c>
      <c r="E14" s="67">
        <v>2.7</v>
      </c>
      <c r="F14" s="66" t="str" cm="1">
        <f t="array" ref="F14">TRIM(_xlfn.TEXTJOIN(CHAR(9),TRUE,A14:B14, TEXT(ROUND(C14:E14,3),"0.000")))</f>
        <v>node	8	5.180	0.000	2.700</v>
      </c>
    </row>
    <row r="15" spans="1:6" x14ac:dyDescent="0.3">
      <c r="A15" s="66" t="s">
        <v>208</v>
      </c>
      <c r="B15" s="66">
        <v>9</v>
      </c>
      <c r="C15" s="67">
        <v>8.58</v>
      </c>
      <c r="D15" s="67">
        <v>0</v>
      </c>
      <c r="E15" s="67">
        <v>2.7</v>
      </c>
      <c r="F15" s="66" t="str" cm="1">
        <f t="array" ref="F15">TRIM(_xlfn.TEXTJOIN(CHAR(9),TRUE,A15:B15, TEXT(ROUND(C15:E15,3),"0.000")))</f>
        <v>node	9	8.580	0.000	2.700</v>
      </c>
    </row>
    <row r="16" spans="1:6" x14ac:dyDescent="0.3">
      <c r="A16" s="66" t="s">
        <v>208</v>
      </c>
      <c r="B16" s="66">
        <v>11</v>
      </c>
      <c r="C16" s="67">
        <v>11.98</v>
      </c>
      <c r="D16" s="67">
        <v>0</v>
      </c>
      <c r="E16" s="67">
        <v>2.7</v>
      </c>
      <c r="F16" s="66" t="str" cm="1">
        <f t="array" ref="F16">TRIM(_xlfn.TEXTJOIN(CHAR(9),TRUE,A16:B16, TEXT(ROUND(C16:E16,3),"0.000")))</f>
        <v>node	11	11.980	0.000	2.700</v>
      </c>
    </row>
    <row r="17" spans="1:6" x14ac:dyDescent="0.3">
      <c r="A17" s="66" t="s">
        <v>208</v>
      </c>
      <c r="B17" s="66">
        <v>12</v>
      </c>
      <c r="C17" s="67">
        <v>17.149999999999999</v>
      </c>
      <c r="D17" s="67">
        <v>0</v>
      </c>
      <c r="E17" s="67">
        <v>2.7</v>
      </c>
      <c r="F17" s="66" t="str" cm="1">
        <f t="array" ref="F17">TRIM(_xlfn.TEXTJOIN(CHAR(9),TRUE,A17:B17, TEXT(ROUND(C17:E17,3),"0.000")))</f>
        <v>node	12	17.150	0.000	2.700</v>
      </c>
    </row>
    <row r="18" spans="1:6" x14ac:dyDescent="0.3">
      <c r="A18" s="66" t="s">
        <v>208</v>
      </c>
      <c r="B18" s="66">
        <v>13</v>
      </c>
      <c r="C18" s="67">
        <v>0</v>
      </c>
      <c r="D18" s="67">
        <v>0</v>
      </c>
      <c r="E18" s="67">
        <v>0</v>
      </c>
      <c r="F18" s="66" t="str" cm="1">
        <f t="array" ref="F18">TRIM(_xlfn.TEXTJOIN(CHAR(9),TRUE,A18:B18, TEXT(ROUND(C18:E18,3),"0.000")))</f>
        <v>node	13	0.000	0.000	0.000</v>
      </c>
    </row>
    <row r="19" spans="1:6" x14ac:dyDescent="0.3">
      <c r="A19" s="66" t="s">
        <v>208</v>
      </c>
      <c r="B19" s="66">
        <v>14</v>
      </c>
      <c r="C19" s="67">
        <v>5.18</v>
      </c>
      <c r="D19" s="67">
        <v>0</v>
      </c>
      <c r="E19" s="67">
        <v>0</v>
      </c>
      <c r="F19" s="66" t="str" cm="1">
        <f t="array" ref="F19">TRIM(_xlfn.TEXTJOIN(CHAR(9),TRUE,A19:B19, TEXT(ROUND(C19:E19,3),"0.000")))</f>
        <v>node	14	5.180	0.000	0.000</v>
      </c>
    </row>
    <row r="20" spans="1:6" x14ac:dyDescent="0.3">
      <c r="A20" s="66" t="s">
        <v>208</v>
      </c>
      <c r="B20" s="66">
        <v>15</v>
      </c>
      <c r="C20" s="67">
        <v>7.31</v>
      </c>
      <c r="D20" s="67">
        <v>0</v>
      </c>
      <c r="E20" s="67">
        <v>0</v>
      </c>
      <c r="F20" s="66" t="str" cm="1">
        <f t="array" ref="F20">TRIM(_xlfn.TEXTJOIN(CHAR(9),TRUE,A20:B20, TEXT(ROUND(C20:E20,3),"0.000")))</f>
        <v>node	15	7.310	0.000	0.000</v>
      </c>
    </row>
    <row r="21" spans="1:6" x14ac:dyDescent="0.3">
      <c r="A21" s="66" t="s">
        <v>208</v>
      </c>
      <c r="B21" s="66">
        <v>16</v>
      </c>
      <c r="C21" s="67">
        <v>9.49</v>
      </c>
      <c r="D21" s="67">
        <v>0</v>
      </c>
      <c r="E21" s="67">
        <v>0</v>
      </c>
      <c r="F21" s="66" t="str" cm="1">
        <f t="array" ref="F21">TRIM(_xlfn.TEXTJOIN(CHAR(9),TRUE,A21:B21, TEXT(ROUND(C21:E21,3),"0.000")))</f>
        <v>node	16	9.490	0.000	0.000</v>
      </c>
    </row>
    <row r="22" spans="1:6" x14ac:dyDescent="0.3">
      <c r="A22" s="66" t="s">
        <v>208</v>
      </c>
      <c r="B22" s="66">
        <v>17</v>
      </c>
      <c r="C22" s="67">
        <v>11.98</v>
      </c>
      <c r="D22" s="67">
        <v>0</v>
      </c>
      <c r="E22" s="67">
        <v>0</v>
      </c>
      <c r="F22" s="66" t="str" cm="1">
        <f t="array" ref="F22">TRIM(_xlfn.TEXTJOIN(CHAR(9),TRUE,A22:B22, TEXT(ROUND(C22:E22,3),"0.000")))</f>
        <v>node	17	11.980	0.000	0.000</v>
      </c>
    </row>
    <row r="23" spans="1:6" x14ac:dyDescent="0.3">
      <c r="A23" s="66" t="s">
        <v>208</v>
      </c>
      <c r="B23" s="66">
        <v>18</v>
      </c>
      <c r="C23" s="67">
        <v>17.149999999999999</v>
      </c>
      <c r="D23" s="67">
        <v>0</v>
      </c>
      <c r="E23" s="67">
        <v>0</v>
      </c>
      <c r="F23" s="66" t="str" cm="1">
        <f t="array" ref="F23">TRIM(_xlfn.TEXTJOIN(CHAR(9),TRUE,A23:B23, TEXT(ROUND(C23:E23,3),"0.000")))</f>
        <v>node	18	17.150	0.000	0.000</v>
      </c>
    </row>
    <row r="24" spans="1:6" x14ac:dyDescent="0.3">
      <c r="A24" s="66" t="s">
        <v>208</v>
      </c>
      <c r="B24" s="66">
        <v>19</v>
      </c>
      <c r="C24" s="67">
        <v>17.149999999999999</v>
      </c>
      <c r="D24" s="67">
        <v>1.53</v>
      </c>
      <c r="E24" s="67">
        <v>6.1</v>
      </c>
      <c r="F24" s="66" t="str" cm="1">
        <f t="array" ref="F24">TRIM(_xlfn.TEXTJOIN(CHAR(9),TRUE,A24:B24, TEXT(ROUND(C24:E24,3),"0.000")))</f>
        <v>node	19	17.150	1.530	6.100</v>
      </c>
    </row>
    <row r="25" spans="1:6" x14ac:dyDescent="0.3">
      <c r="A25" s="66" t="s">
        <v>208</v>
      </c>
      <c r="B25" s="66">
        <v>20</v>
      </c>
      <c r="C25" s="67">
        <v>17.149999999999999</v>
      </c>
      <c r="D25" s="67">
        <v>5.73</v>
      </c>
      <c r="E25" s="67">
        <v>6.1</v>
      </c>
      <c r="F25" s="66" t="str" cm="1">
        <f t="array" ref="F25">TRIM(_xlfn.TEXTJOIN(CHAR(9),TRUE,A25:B25, TEXT(ROUND(C25:E25,3),"0.000")))</f>
        <v>node	20	17.150	5.730	6.100</v>
      </c>
    </row>
    <row r="26" spans="1:6" x14ac:dyDescent="0.3">
      <c r="A26" s="66" t="s">
        <v>208</v>
      </c>
      <c r="B26" s="66">
        <v>21</v>
      </c>
      <c r="C26" s="67">
        <v>17.149999999999999</v>
      </c>
      <c r="D26" s="67">
        <v>11.35</v>
      </c>
      <c r="E26" s="67">
        <v>6.1</v>
      </c>
      <c r="F26" s="66" t="str" cm="1">
        <f t="array" ref="F26">TRIM(_xlfn.TEXTJOIN(CHAR(9),TRUE,A26:B26, TEXT(ROUND(C26:E26,3),"0.000")))</f>
        <v>node	21	17.150	11.350	6.100</v>
      </c>
    </row>
    <row r="27" spans="1:6" x14ac:dyDescent="0.3">
      <c r="A27" s="66" t="s">
        <v>208</v>
      </c>
      <c r="B27" s="66">
        <v>22</v>
      </c>
      <c r="C27" s="67">
        <v>17.149999999999999</v>
      </c>
      <c r="D27" s="67">
        <v>1.53</v>
      </c>
      <c r="E27" s="67">
        <v>2.7</v>
      </c>
      <c r="F27" s="66" t="str" cm="1">
        <f t="array" ref="F27">TRIM(_xlfn.TEXTJOIN(CHAR(9),TRUE,A27:B27, TEXT(ROUND(C27:E27,3),"0.000")))</f>
        <v>node	22	17.150	1.530	2.700</v>
      </c>
    </row>
    <row r="28" spans="1:6" x14ac:dyDescent="0.3">
      <c r="A28" s="66" t="s">
        <v>208</v>
      </c>
      <c r="B28" s="66">
        <v>23</v>
      </c>
      <c r="C28" s="67">
        <v>17.149999999999999</v>
      </c>
      <c r="D28" s="67">
        <v>5.73</v>
      </c>
      <c r="E28" s="67">
        <v>2.7</v>
      </c>
      <c r="F28" s="66" t="str" cm="1">
        <f t="array" ref="F28">TRIM(_xlfn.TEXTJOIN(CHAR(9),TRUE,A28:B28, TEXT(ROUND(C28:E28,3),"0.000")))</f>
        <v>node	23	17.150	5.730	2.700</v>
      </c>
    </row>
    <row r="29" spans="1:6" x14ac:dyDescent="0.3">
      <c r="A29" s="66" t="s">
        <v>208</v>
      </c>
      <c r="B29" s="66">
        <v>24</v>
      </c>
      <c r="C29" s="67">
        <v>17.149999999999999</v>
      </c>
      <c r="D29" s="67">
        <v>11.35</v>
      </c>
      <c r="E29" s="67">
        <v>2.7</v>
      </c>
      <c r="F29" s="66" t="str" cm="1">
        <f t="array" ref="F29">TRIM(_xlfn.TEXTJOIN(CHAR(9),TRUE,A29:B29, TEXT(ROUND(C29:E29,3),"0.000")))</f>
        <v>node	24	17.150	11.350	2.700</v>
      </c>
    </row>
    <row r="30" spans="1:6" x14ac:dyDescent="0.3">
      <c r="A30" s="66" t="s">
        <v>208</v>
      </c>
      <c r="B30" s="66">
        <v>25</v>
      </c>
      <c r="C30" s="67">
        <v>17.149999999999999</v>
      </c>
      <c r="D30" s="67">
        <v>1.53</v>
      </c>
      <c r="E30" s="67">
        <v>0</v>
      </c>
      <c r="F30" s="66" t="str" cm="1">
        <f t="array" ref="F30">TRIM(_xlfn.TEXTJOIN(CHAR(9),TRUE,A30:B30, TEXT(ROUND(C30:E30,3),"0.000")))</f>
        <v>node	25	17.150	1.530	0.000</v>
      </c>
    </row>
    <row r="31" spans="1:6" x14ac:dyDescent="0.3">
      <c r="A31" s="66" t="s">
        <v>208</v>
      </c>
      <c r="B31" s="66">
        <v>26</v>
      </c>
      <c r="C31" s="67">
        <v>17.149999999999999</v>
      </c>
      <c r="D31" s="67">
        <v>5.73</v>
      </c>
      <c r="E31" s="67">
        <v>0</v>
      </c>
      <c r="F31" s="66" t="str" cm="1">
        <f t="array" ref="F31">TRIM(_xlfn.TEXTJOIN(CHAR(9),TRUE,A31:B31, TEXT(ROUND(C31:E31,3),"0.000")))</f>
        <v>node	26	17.150	5.730	0.000</v>
      </c>
    </row>
    <row r="32" spans="1:6" x14ac:dyDescent="0.3">
      <c r="A32" s="66" t="s">
        <v>208</v>
      </c>
      <c r="B32" s="66">
        <v>27</v>
      </c>
      <c r="C32" s="67">
        <v>17.149999999999999</v>
      </c>
      <c r="D32" s="67">
        <v>11.35</v>
      </c>
      <c r="E32" s="67">
        <v>0</v>
      </c>
      <c r="F32" s="66" t="str" cm="1">
        <f t="array" ref="F32">TRIM(_xlfn.TEXTJOIN(CHAR(9),TRUE,A32:B32, TEXT(ROUND(C32:E32,3),"0.000")))</f>
        <v>node	27	17.150	11.350	0.000</v>
      </c>
    </row>
    <row r="33" spans="1:6" x14ac:dyDescent="0.3">
      <c r="A33" s="65" t="s">
        <v>208</v>
      </c>
      <c r="B33" s="66">
        <v>28</v>
      </c>
      <c r="C33" s="67">
        <v>11.98</v>
      </c>
      <c r="D33" s="67">
        <v>11.35</v>
      </c>
      <c r="E33" s="67">
        <v>6.1</v>
      </c>
      <c r="F33" s="66" t="str" cm="1">
        <f t="array" ref="F33">TRIM(_xlfn.TEXTJOIN(CHAR(9),TRUE,A33:B33, TEXT(ROUND(C33:E33,3),"0.000")))</f>
        <v>node	28	11.980	11.350	6.100</v>
      </c>
    </row>
    <row r="34" spans="1:6" x14ac:dyDescent="0.3">
      <c r="A34" s="66" t="s">
        <v>208</v>
      </c>
      <c r="B34" s="66">
        <v>29</v>
      </c>
      <c r="C34" s="67">
        <v>9.48</v>
      </c>
      <c r="D34" s="67">
        <v>11.35</v>
      </c>
      <c r="E34" s="67">
        <v>6.1</v>
      </c>
      <c r="F34" s="66" t="str" cm="1">
        <f t="array" ref="F34">TRIM(_xlfn.TEXTJOIN(CHAR(9),TRUE,A34:B34, TEXT(ROUND(C34:E34,3),"0.000")))</f>
        <v>node	29	9.480	11.350	6.100</v>
      </c>
    </row>
    <row r="35" spans="1:6" x14ac:dyDescent="0.3">
      <c r="A35" s="66" t="s">
        <v>208</v>
      </c>
      <c r="B35" s="66">
        <v>30</v>
      </c>
      <c r="C35" s="67">
        <v>5.18</v>
      </c>
      <c r="D35" s="67">
        <v>11.35</v>
      </c>
      <c r="E35" s="67">
        <v>6.1</v>
      </c>
      <c r="F35" s="66" t="str" cm="1">
        <f t="array" ref="F35">TRIM(_xlfn.TEXTJOIN(CHAR(9),TRUE,A35:B35, TEXT(ROUND(C35:E35,3),"0.000")))</f>
        <v>node	30	5.180	11.350	6.100</v>
      </c>
    </row>
    <row r="36" spans="1:6" x14ac:dyDescent="0.3">
      <c r="A36" s="66" t="s">
        <v>208</v>
      </c>
      <c r="B36" s="66">
        <v>31</v>
      </c>
      <c r="C36" s="67">
        <v>0</v>
      </c>
      <c r="D36" s="67">
        <v>11.35</v>
      </c>
      <c r="E36" s="67">
        <v>6.1</v>
      </c>
      <c r="F36" s="66" t="str" cm="1">
        <f t="array" ref="F36">TRIM(_xlfn.TEXTJOIN(CHAR(9),TRUE,A36:B36, TEXT(ROUND(C36:E36,3),"0.000")))</f>
        <v>node	31	0.000	11.350	6.100</v>
      </c>
    </row>
    <row r="37" spans="1:6" x14ac:dyDescent="0.3">
      <c r="A37" s="66" t="s">
        <v>208</v>
      </c>
      <c r="B37" s="66">
        <v>32</v>
      </c>
      <c r="C37" s="67">
        <v>11.98</v>
      </c>
      <c r="D37" s="67">
        <v>11.35</v>
      </c>
      <c r="E37" s="67">
        <v>2.7</v>
      </c>
      <c r="F37" s="66" t="str" cm="1">
        <f t="array" ref="F37">TRIM(_xlfn.TEXTJOIN(CHAR(9),TRUE,A37:B37, TEXT(ROUND(C37:E37,3),"0.000")))</f>
        <v>node	32	11.980	11.350	2.700</v>
      </c>
    </row>
    <row r="38" spans="1:6" x14ac:dyDescent="0.3">
      <c r="A38" s="66" t="s">
        <v>208</v>
      </c>
      <c r="B38" s="66">
        <v>33</v>
      </c>
      <c r="C38" s="67">
        <v>9.48</v>
      </c>
      <c r="D38" s="67">
        <v>11.35</v>
      </c>
      <c r="E38" s="67">
        <v>2.7</v>
      </c>
      <c r="F38" s="66" t="str" cm="1">
        <f t="array" ref="F38">TRIM(_xlfn.TEXTJOIN(CHAR(9),TRUE,A38:B38, TEXT(ROUND(C38:E38,3),"0.000")))</f>
        <v>node	33	9.480	11.350	2.700</v>
      </c>
    </row>
    <row r="39" spans="1:6" x14ac:dyDescent="0.3">
      <c r="A39" s="66" t="s">
        <v>208</v>
      </c>
      <c r="B39" s="66">
        <v>34</v>
      </c>
      <c r="C39" s="67">
        <v>5.18</v>
      </c>
      <c r="D39" s="67">
        <v>11.35</v>
      </c>
      <c r="E39" s="67">
        <v>2.7</v>
      </c>
      <c r="F39" s="66" t="str" cm="1">
        <f t="array" ref="F39">TRIM(_xlfn.TEXTJOIN(CHAR(9),TRUE,A39:B39, TEXT(ROUND(C39:E39,3),"0.000")))</f>
        <v>node	34	5.180	11.350	2.700</v>
      </c>
    </row>
    <row r="40" spans="1:6" x14ac:dyDescent="0.3">
      <c r="A40" s="66" t="s">
        <v>208</v>
      </c>
      <c r="B40" s="66">
        <v>35</v>
      </c>
      <c r="C40" s="67">
        <v>0</v>
      </c>
      <c r="D40" s="67">
        <v>11.35</v>
      </c>
      <c r="E40" s="67">
        <v>2.7</v>
      </c>
      <c r="F40" s="66" t="str" cm="1">
        <f t="array" ref="F40">TRIM(_xlfn.TEXTJOIN(CHAR(9),TRUE,A40:B40, TEXT(ROUND(C40:E40,3),"0.000")))</f>
        <v>node	35	0.000	11.350	2.700</v>
      </c>
    </row>
    <row r="41" spans="1:6" x14ac:dyDescent="0.3">
      <c r="A41" s="66" t="s">
        <v>208</v>
      </c>
      <c r="B41" s="66">
        <v>36</v>
      </c>
      <c r="C41" s="67">
        <v>11.98</v>
      </c>
      <c r="D41" s="67">
        <v>11.35</v>
      </c>
      <c r="E41" s="67">
        <v>0</v>
      </c>
      <c r="F41" s="66" t="str" cm="1">
        <f t="array" ref="F41">TRIM(_xlfn.TEXTJOIN(CHAR(9),TRUE,A41:B41, TEXT(ROUND(C41:E41,3),"0.000")))</f>
        <v>node	36	11.980	11.350	0.000</v>
      </c>
    </row>
    <row r="42" spans="1:6" x14ac:dyDescent="0.3">
      <c r="A42" s="66" t="s">
        <v>208</v>
      </c>
      <c r="B42" s="66">
        <v>37</v>
      </c>
      <c r="C42" s="67">
        <v>9.48</v>
      </c>
      <c r="D42" s="67">
        <v>11.35</v>
      </c>
      <c r="E42" s="67">
        <v>0</v>
      </c>
      <c r="F42" s="66" t="str" cm="1">
        <f t="array" ref="F42">TRIM(_xlfn.TEXTJOIN(CHAR(9),TRUE,A42:B42, TEXT(ROUND(C42:E42,3),"0.000")))</f>
        <v>node	37	9.480	11.350	0.000</v>
      </c>
    </row>
    <row r="43" spans="1:6" x14ac:dyDescent="0.3">
      <c r="A43" s="66" t="s">
        <v>208</v>
      </c>
      <c r="B43" s="66">
        <v>38</v>
      </c>
      <c r="C43" s="67">
        <v>5.18</v>
      </c>
      <c r="D43" s="67">
        <v>11.35</v>
      </c>
      <c r="E43" s="67">
        <v>0</v>
      </c>
      <c r="F43" s="66" t="str" cm="1">
        <f t="array" ref="F43">TRIM(_xlfn.TEXTJOIN(CHAR(9),TRUE,A43:B43, TEXT(ROUND(C43:E43,3),"0.000")))</f>
        <v>node	38	5.180	11.350	0.000</v>
      </c>
    </row>
    <row r="44" spans="1:6" x14ac:dyDescent="0.3">
      <c r="A44" s="66" t="s">
        <v>208</v>
      </c>
      <c r="B44" s="66">
        <v>39</v>
      </c>
      <c r="C44" s="67">
        <v>0</v>
      </c>
      <c r="D44" s="67">
        <v>11.35</v>
      </c>
      <c r="E44" s="67">
        <v>0</v>
      </c>
      <c r="F44" s="66" t="str" cm="1">
        <f t="array" ref="F44">TRIM(_xlfn.TEXTJOIN(CHAR(9),TRUE,A44:B44, TEXT(ROUND(C44:E44,3),"0.000")))</f>
        <v>node	39	0.000	11.350	0.000</v>
      </c>
    </row>
    <row r="45" spans="1:6" x14ac:dyDescent="0.3">
      <c r="A45" s="66" t="s">
        <v>208</v>
      </c>
      <c r="B45" s="66">
        <v>40</v>
      </c>
      <c r="C45" s="67">
        <v>0</v>
      </c>
      <c r="D45" s="67">
        <v>5.73</v>
      </c>
      <c r="E45" s="67">
        <v>6.1</v>
      </c>
      <c r="F45" s="66" t="str" cm="1">
        <f t="array" ref="F45">TRIM(_xlfn.TEXTJOIN(CHAR(9),TRUE,A45:B45, TEXT(ROUND(C45:E45,3),"0.000")))</f>
        <v>node	40	0.000	5.730	6.100</v>
      </c>
    </row>
    <row r="46" spans="1:6" x14ac:dyDescent="0.3">
      <c r="A46" s="65" t="s">
        <v>208</v>
      </c>
      <c r="B46" s="66">
        <v>41</v>
      </c>
      <c r="C46" s="67">
        <v>0</v>
      </c>
      <c r="D46" s="67">
        <v>5.73</v>
      </c>
      <c r="E46" s="67">
        <v>2.7</v>
      </c>
      <c r="F46" s="66" t="str" cm="1">
        <f t="array" ref="F46">TRIM(_xlfn.TEXTJOIN(CHAR(9),TRUE,A46:B46, TEXT(ROUND(C46:E46,3),"0.000")))</f>
        <v>node	41	0.000	5.730	2.700</v>
      </c>
    </row>
    <row r="47" spans="1:6" x14ac:dyDescent="0.3">
      <c r="A47" s="66" t="s">
        <v>208</v>
      </c>
      <c r="B47" s="66">
        <v>42</v>
      </c>
      <c r="C47" s="67">
        <v>0</v>
      </c>
      <c r="D47" s="67">
        <v>5.73</v>
      </c>
      <c r="E47" s="67">
        <v>0</v>
      </c>
      <c r="F47" s="66" t="str" cm="1">
        <f t="array" ref="F47">TRIM(_xlfn.TEXTJOIN(CHAR(9),TRUE,A47:B47, TEXT(ROUND(C47:E47,3),"0.000")))</f>
        <v>node	42	0.000	5.730	0.000</v>
      </c>
    </row>
    <row r="48" spans="1:6" x14ac:dyDescent="0.3">
      <c r="A48" s="66" t="s">
        <v>208</v>
      </c>
      <c r="B48" s="66">
        <v>43</v>
      </c>
      <c r="C48" s="67">
        <v>5.18</v>
      </c>
      <c r="D48" s="67">
        <v>5.73</v>
      </c>
      <c r="E48" s="67">
        <v>6.1</v>
      </c>
      <c r="F48" s="66" t="str" cm="1">
        <f t="array" ref="F48">TRIM(_xlfn.TEXTJOIN(CHAR(9),TRUE,A48:B48, TEXT(ROUND(C48:E48,3),"0.000")))</f>
        <v>node	43	5.180	5.730	6.100</v>
      </c>
    </row>
    <row r="49" spans="1:6" x14ac:dyDescent="0.3">
      <c r="A49" s="66" t="s">
        <v>208</v>
      </c>
      <c r="B49" s="66">
        <v>44</v>
      </c>
      <c r="C49" s="67">
        <v>9.48</v>
      </c>
      <c r="D49" s="67">
        <v>5.73</v>
      </c>
      <c r="E49" s="67">
        <v>6.1</v>
      </c>
      <c r="F49" s="66" t="str" cm="1">
        <f t="array" ref="F49">TRIM(_xlfn.TEXTJOIN(CHAR(9),TRUE,A49:B49, TEXT(ROUND(C49:E49,3),"0.000")))</f>
        <v>node	44	9.480	5.730	6.100</v>
      </c>
    </row>
    <row r="50" spans="1:6" x14ac:dyDescent="0.3">
      <c r="A50" s="66" t="s">
        <v>208</v>
      </c>
      <c r="B50" s="66">
        <v>45</v>
      </c>
      <c r="C50" s="67">
        <v>11.98</v>
      </c>
      <c r="D50" s="67">
        <v>5.73</v>
      </c>
      <c r="E50" s="67">
        <v>6.1</v>
      </c>
      <c r="F50" s="66" t="str" cm="1">
        <f t="array" ref="F50">TRIM(_xlfn.TEXTJOIN(CHAR(9),TRUE,A50:B50, TEXT(ROUND(C50:E50,3),"0.000")))</f>
        <v>node	45	11.980	5.730	6.100</v>
      </c>
    </row>
    <row r="51" spans="1:6" x14ac:dyDescent="0.3">
      <c r="A51" s="66" t="s">
        <v>208</v>
      </c>
      <c r="B51" s="66">
        <v>46</v>
      </c>
      <c r="C51" s="67">
        <v>5.18</v>
      </c>
      <c r="D51" s="67">
        <v>5.73</v>
      </c>
      <c r="E51" s="67">
        <v>2.7</v>
      </c>
      <c r="F51" s="66" t="str" cm="1">
        <f t="array" ref="F51">TRIM(_xlfn.TEXTJOIN(CHAR(9),TRUE,A51:B51, TEXT(ROUND(C51:E51,3),"0.000")))</f>
        <v>node	46	5.180	5.730	2.700</v>
      </c>
    </row>
    <row r="52" spans="1:6" x14ac:dyDescent="0.3">
      <c r="A52" s="66" t="s">
        <v>208</v>
      </c>
      <c r="B52" s="66">
        <v>47</v>
      </c>
      <c r="C52" s="67">
        <v>9.48</v>
      </c>
      <c r="D52" s="67">
        <v>5.73</v>
      </c>
      <c r="E52" s="67">
        <v>2.7</v>
      </c>
      <c r="F52" s="66" t="str" cm="1">
        <f t="array" ref="F52">TRIM(_xlfn.TEXTJOIN(CHAR(9),TRUE,A52:B52, TEXT(ROUND(C52:E52,3),"0.000")))</f>
        <v>node	47	9.480	5.730	2.700</v>
      </c>
    </row>
    <row r="53" spans="1:6" x14ac:dyDescent="0.3">
      <c r="A53" s="66" t="s">
        <v>208</v>
      </c>
      <c r="B53" s="66">
        <v>48</v>
      </c>
      <c r="C53" s="67">
        <v>11.98</v>
      </c>
      <c r="D53" s="67">
        <v>5.73</v>
      </c>
      <c r="E53" s="67">
        <v>2.7</v>
      </c>
      <c r="F53" s="66" t="str" cm="1">
        <f t="array" ref="F53">TRIM(_xlfn.TEXTJOIN(CHAR(9),TRUE,A53:B53, TEXT(ROUND(C53:E53,3),"0.000")))</f>
        <v>node	48	11.980	5.730	2.700</v>
      </c>
    </row>
    <row r="54" spans="1:6" x14ac:dyDescent="0.3">
      <c r="A54" s="66" t="s">
        <v>208</v>
      </c>
      <c r="B54" s="68">
        <v>49</v>
      </c>
      <c r="C54" s="67">
        <v>5.18</v>
      </c>
      <c r="D54" s="67">
        <v>5.73</v>
      </c>
      <c r="E54" s="67">
        <v>0</v>
      </c>
      <c r="F54" s="66" t="str" cm="1">
        <f t="array" ref="F54">TRIM(_xlfn.TEXTJOIN(CHAR(9),TRUE,A54:B54, TEXT(ROUND(C54:E54,3),"0.000")))</f>
        <v>node	49	5.180	5.730	0.000</v>
      </c>
    </row>
    <row r="55" spans="1:6" x14ac:dyDescent="0.3">
      <c r="A55" s="66" t="s">
        <v>208</v>
      </c>
      <c r="B55" s="68">
        <v>50</v>
      </c>
      <c r="C55" s="67">
        <v>9.48</v>
      </c>
      <c r="D55" s="67">
        <v>5.73</v>
      </c>
      <c r="E55" s="67">
        <v>0</v>
      </c>
      <c r="F55" s="66" t="str" cm="1">
        <f t="array" ref="F55">TRIM(_xlfn.TEXTJOIN(CHAR(9),TRUE,A55:B55, TEXT(ROUND(C55:E55,3),"0.000")))</f>
        <v>node	50	9.480	5.730	0.000</v>
      </c>
    </row>
    <row r="56" spans="1:6" x14ac:dyDescent="0.3">
      <c r="A56" s="66" t="s">
        <v>208</v>
      </c>
      <c r="B56" s="68">
        <v>51</v>
      </c>
      <c r="C56" s="67">
        <v>11.98</v>
      </c>
      <c r="D56" s="67">
        <v>5.73</v>
      </c>
      <c r="E56" s="67">
        <v>0</v>
      </c>
      <c r="F56" s="66" t="str" cm="1">
        <f t="array" ref="F56">TRIM(_xlfn.TEXTJOIN(CHAR(9),TRUE,A56:B56, TEXT(ROUND(C56:E56,3),"0.000")))</f>
        <v>node	51	11.980	5.730	0.000</v>
      </c>
    </row>
    <row r="57" spans="1:6" x14ac:dyDescent="0.3">
      <c r="A57" s="66" t="s">
        <v>208</v>
      </c>
      <c r="B57" s="68">
        <v>52</v>
      </c>
      <c r="C57" s="67">
        <v>11.98</v>
      </c>
      <c r="D57" s="67">
        <v>1.53</v>
      </c>
      <c r="E57" s="67">
        <v>6.1</v>
      </c>
      <c r="F57" s="66" t="str" cm="1">
        <f t="array" ref="F57">TRIM(_xlfn.TEXTJOIN(CHAR(9),TRUE,A57:B57, TEXT(ROUND(C57:E57,3),"0.000")))</f>
        <v>node	52	11.980	1.530	6.100</v>
      </c>
    </row>
    <row r="58" spans="1:6" x14ac:dyDescent="0.3">
      <c r="A58" s="66" t="s">
        <v>208</v>
      </c>
      <c r="B58" s="68">
        <v>53</v>
      </c>
      <c r="C58" s="67">
        <v>11.98</v>
      </c>
      <c r="D58" s="67">
        <v>1.53</v>
      </c>
      <c r="E58" s="67">
        <v>2.7</v>
      </c>
      <c r="F58" s="66" t="str" cm="1">
        <f t="array" ref="F58">TRIM(_xlfn.TEXTJOIN(CHAR(9),TRUE,A58:B58, TEXT(ROUND(C58:E58,3),"0.000")))</f>
        <v>node	53	11.980	1.530	2.700</v>
      </c>
    </row>
    <row r="59" spans="1:6" x14ac:dyDescent="0.3">
      <c r="A59" s="66" t="s">
        <v>208</v>
      </c>
      <c r="B59" s="68">
        <v>54</v>
      </c>
      <c r="C59" s="67">
        <v>11.98</v>
      </c>
      <c r="D59" s="67">
        <v>1.53</v>
      </c>
      <c r="E59" s="67">
        <v>0</v>
      </c>
      <c r="F59" s="66" t="str" cm="1">
        <f t="array" ref="F59">TRIM(_xlfn.TEXTJOIN(CHAR(9),TRUE,A59:B59, TEXT(ROUND(C59:E59,3),"0.000")))</f>
        <v>node	54	11.980	1.530	0.000</v>
      </c>
    </row>
    <row r="60" spans="1:6" x14ac:dyDescent="0.3">
      <c r="A60" s="66" t="s">
        <v>208</v>
      </c>
      <c r="B60" s="68">
        <v>55</v>
      </c>
      <c r="C60" s="67">
        <v>7.31</v>
      </c>
      <c r="D60" s="67">
        <v>3.98</v>
      </c>
      <c r="E60" s="67">
        <v>6.1</v>
      </c>
      <c r="F60" s="66" t="str" cm="1">
        <f t="array" ref="F60">TRIM(_xlfn.TEXTJOIN(CHAR(9),TRUE,A60:B60, TEXT(ROUND(C60:E60,3),"0.000")))</f>
        <v>node	55	7.310	3.980	6.100</v>
      </c>
    </row>
    <row r="61" spans="1:6" x14ac:dyDescent="0.3">
      <c r="A61" s="66" t="s">
        <v>208</v>
      </c>
      <c r="B61" s="68">
        <v>56</v>
      </c>
      <c r="C61" s="67">
        <v>7.31</v>
      </c>
      <c r="D61" s="67">
        <v>3.98</v>
      </c>
      <c r="E61" s="67">
        <v>2.7</v>
      </c>
      <c r="F61" s="66" t="str" cm="1">
        <f t="array" ref="F61">TRIM(_xlfn.TEXTJOIN(CHAR(9),TRUE,A61:B61, TEXT(ROUND(C61:E61,3),"0.000")))</f>
        <v>node	56	7.310	3.980	2.700</v>
      </c>
    </row>
    <row r="62" spans="1:6" x14ac:dyDescent="0.3">
      <c r="A62" s="66" t="s">
        <v>208</v>
      </c>
      <c r="B62" s="68">
        <v>57</v>
      </c>
      <c r="C62" s="67">
        <v>7.31</v>
      </c>
      <c r="D62" s="67">
        <v>3.98</v>
      </c>
      <c r="E62" s="67">
        <v>0</v>
      </c>
      <c r="F62" s="66" t="str" cm="1">
        <f t="array" ref="F62">TRIM(_xlfn.TEXTJOIN(CHAR(9),TRUE,A62:B62, TEXT(ROUND(C62:E62,3),"0.000")))</f>
        <v>node	57	7.310	3.980	0.000</v>
      </c>
    </row>
    <row r="63" spans="1:6" x14ac:dyDescent="0.3">
      <c r="A63" s="66" t="s">
        <v>208</v>
      </c>
      <c r="B63" s="68">
        <v>58</v>
      </c>
      <c r="C63" s="67">
        <v>0</v>
      </c>
      <c r="D63" s="67">
        <v>0</v>
      </c>
      <c r="E63" s="67">
        <v>6.1</v>
      </c>
      <c r="F63" s="66" t="str" cm="1">
        <f t="array" ref="F63">TRIM(_xlfn.TEXTJOIN(CHAR(9),TRUE,A63:B63, TEXT(ROUND(C63:E63,3),"0.000")))</f>
        <v>node	58	0.000	0.000	6.100</v>
      </c>
    </row>
    <row r="64" spans="1:6" x14ac:dyDescent="0.3">
      <c r="A64" s="66" t="s">
        <v>208</v>
      </c>
      <c r="B64" s="68">
        <v>59</v>
      </c>
      <c r="C64" s="67">
        <v>5.18</v>
      </c>
      <c r="D64" s="67">
        <v>0</v>
      </c>
      <c r="E64" s="67">
        <v>6.1</v>
      </c>
      <c r="F64" s="66" t="str" cm="1">
        <f t="array" ref="F64">TRIM(_xlfn.TEXTJOIN(CHAR(9),TRUE,A64:B64, TEXT(ROUND(C64:E64,3),"0.000")))</f>
        <v>node	59	5.180	0.000	6.100</v>
      </c>
    </row>
    <row r="65" spans="1:6" x14ac:dyDescent="0.3">
      <c r="A65" s="66" t="s">
        <v>208</v>
      </c>
      <c r="B65" s="68">
        <v>60</v>
      </c>
      <c r="C65" s="67">
        <v>11.98</v>
      </c>
      <c r="D65" s="67">
        <v>0</v>
      </c>
      <c r="E65" s="67">
        <v>6.1</v>
      </c>
      <c r="F65" s="66" t="str" cm="1">
        <f t="array" ref="F65">TRIM(_xlfn.TEXTJOIN(CHAR(9),TRUE,A65:B65, TEXT(ROUND(C65:E65,3),"0.000")))</f>
        <v>node	60	11.980	0.000	6.100</v>
      </c>
    </row>
    <row r="66" spans="1:6" x14ac:dyDescent="0.3">
      <c r="A66" s="66" t="s">
        <v>208</v>
      </c>
      <c r="B66" s="68">
        <v>61</v>
      </c>
      <c r="C66" s="67">
        <v>17.149999999999999</v>
      </c>
      <c r="D66" s="67">
        <v>0</v>
      </c>
      <c r="E66" s="67">
        <v>6.1</v>
      </c>
      <c r="F66" s="66" t="str" cm="1">
        <f t="array" ref="F66">TRIM(_xlfn.TEXTJOIN(CHAR(9),TRUE,A66:B66, TEXT(ROUND(C66:E66,3),"0.000")))</f>
        <v>node	61	17.150	0.000	6.100</v>
      </c>
    </row>
    <row r="67" spans="1:6" x14ac:dyDescent="0.3">
      <c r="A67" s="66" t="s">
        <v>208</v>
      </c>
      <c r="B67" s="68">
        <v>62</v>
      </c>
      <c r="C67" s="67">
        <v>0</v>
      </c>
      <c r="D67" s="67">
        <v>0</v>
      </c>
      <c r="E67" s="67">
        <v>2.7</v>
      </c>
      <c r="F67" s="66" t="str" cm="1">
        <f t="array" ref="F67">TRIM(_xlfn.TEXTJOIN(CHAR(9),TRUE,A67:B67, TEXT(ROUND(C67:E67,3),"0.000")))</f>
        <v>node	62	0.000	0.000	2.700</v>
      </c>
    </row>
    <row r="68" spans="1:6" x14ac:dyDescent="0.3">
      <c r="A68" s="66" t="s">
        <v>208</v>
      </c>
      <c r="B68" s="68">
        <v>63</v>
      </c>
      <c r="C68" s="67">
        <v>5.18</v>
      </c>
      <c r="D68" s="67">
        <v>0</v>
      </c>
      <c r="E68" s="67">
        <v>2.7</v>
      </c>
      <c r="F68" s="66" t="str" cm="1">
        <f t="array" ref="F68">TRIM(_xlfn.TEXTJOIN(CHAR(9),TRUE,A68:B68, TEXT(ROUND(C68:E68,3),"0.000")))</f>
        <v>node	63	5.180	0.000	2.700</v>
      </c>
    </row>
    <row r="69" spans="1:6" x14ac:dyDescent="0.3">
      <c r="A69" s="66" t="s">
        <v>208</v>
      </c>
      <c r="B69" s="68">
        <v>64</v>
      </c>
      <c r="C69" s="67">
        <v>11.98</v>
      </c>
      <c r="D69" s="67">
        <v>0</v>
      </c>
      <c r="E69" s="67">
        <v>2.7</v>
      </c>
      <c r="F69" s="66" t="str" cm="1">
        <f t="array" ref="F69">TRIM(_xlfn.TEXTJOIN(CHAR(9),TRUE,A69:B69, TEXT(ROUND(C69:E69,3),"0.000")))</f>
        <v>node	64	11.980	0.000	2.700</v>
      </c>
    </row>
    <row r="70" spans="1:6" x14ac:dyDescent="0.3">
      <c r="A70" s="65" t="s">
        <v>208</v>
      </c>
      <c r="B70" s="68">
        <v>65</v>
      </c>
      <c r="C70" s="67">
        <v>17.149999999999999</v>
      </c>
      <c r="D70" s="67">
        <v>0</v>
      </c>
      <c r="E70" s="67">
        <v>2.7</v>
      </c>
      <c r="F70" s="66" t="str" cm="1">
        <f t="array" ref="F70">TRIM(_xlfn.TEXTJOIN(CHAR(9),TRUE,A70:B70, TEXT(ROUND(C70:E70,3),"0.000")))</f>
        <v>node	65	17.150	0.000	2.700</v>
      </c>
    </row>
    <row r="71" spans="1:6" x14ac:dyDescent="0.3">
      <c r="A71" s="66" t="s">
        <v>208</v>
      </c>
      <c r="B71" s="68">
        <v>66</v>
      </c>
      <c r="C71" s="67">
        <v>0</v>
      </c>
      <c r="D71" s="67">
        <v>0</v>
      </c>
      <c r="E71" s="67">
        <v>0</v>
      </c>
      <c r="F71" s="66" t="str" cm="1">
        <f t="array" ref="F71">TRIM(_xlfn.TEXTJOIN(CHAR(9),TRUE,A71:B71, TEXT(ROUND(C71:E71,3),"0.000")))</f>
        <v>node	66	0.000	0.000	0.000</v>
      </c>
    </row>
    <row r="72" spans="1:6" x14ac:dyDescent="0.3">
      <c r="A72" s="66" t="s">
        <v>208</v>
      </c>
      <c r="B72" s="68">
        <v>67</v>
      </c>
      <c r="C72" s="67">
        <v>5.18</v>
      </c>
      <c r="D72" s="67">
        <v>0</v>
      </c>
      <c r="E72" s="67">
        <v>0</v>
      </c>
      <c r="F72" s="66" t="str" cm="1">
        <f t="array" ref="F72">TRIM(_xlfn.TEXTJOIN(CHAR(9),TRUE,A72:B72, TEXT(ROUND(C72:E72,3),"0.000")))</f>
        <v>node	67	5.180	0.000	0.000</v>
      </c>
    </row>
    <row r="73" spans="1:6" x14ac:dyDescent="0.3">
      <c r="A73" s="66" t="s">
        <v>208</v>
      </c>
      <c r="B73" s="68">
        <v>68</v>
      </c>
      <c r="C73" s="67">
        <v>11.98</v>
      </c>
      <c r="D73" s="67">
        <v>0</v>
      </c>
      <c r="E73" s="67">
        <v>0</v>
      </c>
      <c r="F73" s="66" t="str" cm="1">
        <f t="array" ref="F73">TRIM(_xlfn.TEXTJOIN(CHAR(9),TRUE,A73:B73, TEXT(ROUND(C73:E73,3),"0.000")))</f>
        <v>node	68	11.980	0.000	0.000</v>
      </c>
    </row>
    <row r="74" spans="1:6" x14ac:dyDescent="0.3">
      <c r="A74" s="66" t="s">
        <v>208</v>
      </c>
      <c r="B74" s="68">
        <v>69</v>
      </c>
      <c r="C74" s="67">
        <v>17.149999999999999</v>
      </c>
      <c r="D74" s="67">
        <v>0</v>
      </c>
      <c r="E74" s="67">
        <v>0</v>
      </c>
      <c r="F74" s="66" t="str" cm="1">
        <f t="array" ref="F74">TRIM(_xlfn.TEXTJOIN(CHAR(9),TRUE,A74:B74, TEXT(ROUND(C74:E74,3),"0.000")))</f>
        <v>node	69	17.150	0.000	0.000</v>
      </c>
    </row>
    <row r="75" spans="1:6" x14ac:dyDescent="0.3">
      <c r="A75" s="66" t="s">
        <v>208</v>
      </c>
      <c r="B75" s="68">
        <v>70</v>
      </c>
      <c r="C75" s="67">
        <v>17.149999999999999</v>
      </c>
      <c r="D75" s="67">
        <v>1.53</v>
      </c>
      <c r="E75" s="67">
        <v>6.1</v>
      </c>
      <c r="F75" s="66" t="str" cm="1">
        <f t="array" ref="F75">TRIM(_xlfn.TEXTJOIN(CHAR(9),TRUE,A75:B75, TEXT(ROUND(C75:E75,3),"0.000")))</f>
        <v>node	70	17.150	1.530	6.100</v>
      </c>
    </row>
    <row r="76" spans="1:6" x14ac:dyDescent="0.3">
      <c r="A76" s="66" t="s">
        <v>208</v>
      </c>
      <c r="B76" s="68">
        <v>71</v>
      </c>
      <c r="C76" s="67">
        <v>17.149999999999999</v>
      </c>
      <c r="D76" s="67">
        <v>5.73</v>
      </c>
      <c r="E76" s="67">
        <v>6.1</v>
      </c>
      <c r="F76" s="66" t="str" cm="1">
        <f t="array" ref="F76">TRIM(_xlfn.TEXTJOIN(CHAR(9),TRUE,A76:B76, TEXT(ROUND(C76:E76,3),"0.000")))</f>
        <v>node	71	17.150	5.730	6.100</v>
      </c>
    </row>
    <row r="77" spans="1:6" x14ac:dyDescent="0.3">
      <c r="A77" s="66" t="s">
        <v>208</v>
      </c>
      <c r="B77" s="68">
        <v>72</v>
      </c>
      <c r="C77" s="67">
        <v>17.149999999999999</v>
      </c>
      <c r="D77" s="67">
        <v>11.35</v>
      </c>
      <c r="E77" s="67">
        <v>6.1</v>
      </c>
      <c r="F77" s="66" t="str" cm="1">
        <f t="array" ref="F77">TRIM(_xlfn.TEXTJOIN(CHAR(9),TRUE,A77:B77, TEXT(ROUND(C77:E77,3),"0.000")))</f>
        <v>node	72	17.150	11.350	6.100</v>
      </c>
    </row>
    <row r="78" spans="1:6" x14ac:dyDescent="0.3">
      <c r="A78" s="66" t="s">
        <v>208</v>
      </c>
      <c r="B78" s="68">
        <v>73</v>
      </c>
      <c r="C78" s="67">
        <v>17.149999999999999</v>
      </c>
      <c r="D78" s="67">
        <v>1.53</v>
      </c>
      <c r="E78" s="67">
        <v>2.7</v>
      </c>
      <c r="F78" s="66" t="str" cm="1">
        <f t="array" ref="F78">TRIM(_xlfn.TEXTJOIN(CHAR(9),TRUE,A78:B78, TEXT(ROUND(C78:E78,3),"0.000")))</f>
        <v>node	73	17.150	1.530	2.700</v>
      </c>
    </row>
    <row r="79" spans="1:6" x14ac:dyDescent="0.3">
      <c r="A79" s="66" t="s">
        <v>208</v>
      </c>
      <c r="B79" s="68">
        <v>74</v>
      </c>
      <c r="C79" s="67">
        <v>17.149999999999999</v>
      </c>
      <c r="D79" s="67">
        <v>5.73</v>
      </c>
      <c r="E79" s="67">
        <v>2.7</v>
      </c>
      <c r="F79" s="66" t="str" cm="1">
        <f t="array" ref="F79">TRIM(_xlfn.TEXTJOIN(CHAR(9),TRUE,A79:B79, TEXT(ROUND(C79:E79,3),"0.000")))</f>
        <v>node	74	17.150	5.730	2.700</v>
      </c>
    </row>
    <row r="80" spans="1:6" x14ac:dyDescent="0.3">
      <c r="A80" s="66" t="s">
        <v>208</v>
      </c>
      <c r="B80" s="68">
        <v>75</v>
      </c>
      <c r="C80" s="67">
        <v>17.149999999999999</v>
      </c>
      <c r="D80" s="67">
        <v>11.35</v>
      </c>
      <c r="E80" s="67">
        <v>2.7</v>
      </c>
      <c r="F80" s="66" t="str" cm="1">
        <f t="array" ref="F80">TRIM(_xlfn.TEXTJOIN(CHAR(9),TRUE,A80:B80, TEXT(ROUND(C80:E80,3),"0.000")))</f>
        <v>node	75	17.150	11.350	2.700</v>
      </c>
    </row>
    <row r="81" spans="1:6" x14ac:dyDescent="0.3">
      <c r="A81" s="66" t="s">
        <v>208</v>
      </c>
      <c r="B81" s="66">
        <v>76</v>
      </c>
      <c r="C81" s="67">
        <v>17.149999999999999</v>
      </c>
      <c r="D81" s="67">
        <v>1.53</v>
      </c>
      <c r="E81" s="67">
        <v>0</v>
      </c>
      <c r="F81" s="66" t="str" cm="1">
        <f t="array" ref="F81">TRIM(_xlfn.TEXTJOIN(CHAR(9),TRUE,A81:B81, TEXT(ROUND(C81:E81,3),"0.000")))</f>
        <v>node	76	17.150	1.530	0.000</v>
      </c>
    </row>
    <row r="82" spans="1:6" x14ac:dyDescent="0.3">
      <c r="A82" s="66" t="s">
        <v>208</v>
      </c>
      <c r="B82" s="66">
        <v>77</v>
      </c>
      <c r="C82" s="67">
        <v>17.149999999999999</v>
      </c>
      <c r="D82" s="67">
        <v>5.73</v>
      </c>
      <c r="E82" s="67">
        <v>0</v>
      </c>
      <c r="F82" s="66" t="str" cm="1">
        <f t="array" ref="F82">TRIM(_xlfn.TEXTJOIN(CHAR(9),TRUE,A82:B82, TEXT(ROUND(C82:E82,3),"0.000")))</f>
        <v>node	77	17.150	5.730	0.000</v>
      </c>
    </row>
    <row r="83" spans="1:6" x14ac:dyDescent="0.3">
      <c r="A83" s="66" t="s">
        <v>208</v>
      </c>
      <c r="B83" s="66">
        <v>78</v>
      </c>
      <c r="C83" s="67">
        <v>17.149999999999999</v>
      </c>
      <c r="D83" s="67">
        <v>11.35</v>
      </c>
      <c r="E83" s="67">
        <v>0</v>
      </c>
      <c r="F83" s="66" t="str" cm="1">
        <f t="array" ref="F83">TRIM(_xlfn.TEXTJOIN(CHAR(9),TRUE,A83:B83, TEXT(ROUND(C83:E83,3),"0.000")))</f>
        <v>node	78	17.150	11.350	0.000</v>
      </c>
    </row>
    <row r="84" spans="1:6" x14ac:dyDescent="0.3">
      <c r="A84" s="65" t="s">
        <v>208</v>
      </c>
      <c r="B84" s="66">
        <v>79</v>
      </c>
      <c r="C84" s="67">
        <v>11.98</v>
      </c>
      <c r="D84" s="67">
        <v>11.35</v>
      </c>
      <c r="E84" s="67">
        <v>6.1</v>
      </c>
      <c r="F84" s="66" t="str" cm="1">
        <f t="array" ref="F84">TRIM(_xlfn.TEXTJOIN(CHAR(9),TRUE,A84:B84, TEXT(ROUND(C84:E84,3),"0.000")))</f>
        <v>node	79	11.980	11.350	6.100</v>
      </c>
    </row>
    <row r="85" spans="1:6" x14ac:dyDescent="0.3">
      <c r="A85" s="66" t="s">
        <v>208</v>
      </c>
      <c r="B85" s="66">
        <v>80</v>
      </c>
      <c r="C85" s="67">
        <v>5.18</v>
      </c>
      <c r="D85" s="67">
        <v>11.35</v>
      </c>
      <c r="E85" s="67">
        <v>6.1</v>
      </c>
      <c r="F85" s="66" t="str" cm="1">
        <f t="array" ref="F85">TRIM(_xlfn.TEXTJOIN(CHAR(9),TRUE,A85:B85, TEXT(ROUND(C85:E85,3),"0.000")))</f>
        <v>node	80	5.180	11.350	6.100</v>
      </c>
    </row>
    <row r="86" spans="1:6" x14ac:dyDescent="0.3">
      <c r="A86" s="66" t="s">
        <v>208</v>
      </c>
      <c r="B86" s="66">
        <v>81</v>
      </c>
      <c r="C86" s="67">
        <v>0</v>
      </c>
      <c r="D86" s="67">
        <v>11.35</v>
      </c>
      <c r="E86" s="67">
        <v>6.1</v>
      </c>
      <c r="F86" s="66" t="str" cm="1">
        <f t="array" ref="F86">TRIM(_xlfn.TEXTJOIN(CHAR(9),TRUE,A86:B86, TEXT(ROUND(C86:E86,3),"0.000")))</f>
        <v>node	81	0.000	11.350	6.100</v>
      </c>
    </row>
    <row r="87" spans="1:6" x14ac:dyDescent="0.3">
      <c r="A87" s="66" t="s">
        <v>208</v>
      </c>
      <c r="B87" s="66">
        <v>82</v>
      </c>
      <c r="C87" s="67">
        <v>11.98</v>
      </c>
      <c r="D87" s="67">
        <v>11.35</v>
      </c>
      <c r="E87" s="67">
        <v>2.7</v>
      </c>
      <c r="F87" s="66" t="str" cm="1">
        <f t="array" ref="F87">TRIM(_xlfn.TEXTJOIN(CHAR(9),TRUE,A87:B87, TEXT(ROUND(C87:E87,3),"0.000")))</f>
        <v>node	82	11.980	11.350	2.700</v>
      </c>
    </row>
    <row r="88" spans="1:6" x14ac:dyDescent="0.3">
      <c r="A88" s="66" t="s">
        <v>208</v>
      </c>
      <c r="B88" s="66">
        <v>83</v>
      </c>
      <c r="C88" s="67">
        <v>5.18</v>
      </c>
      <c r="D88" s="67">
        <v>11.35</v>
      </c>
      <c r="E88" s="67">
        <v>2.7</v>
      </c>
      <c r="F88" s="66" t="str" cm="1">
        <f t="array" ref="F88">TRIM(_xlfn.TEXTJOIN(CHAR(9),TRUE,A88:B88, TEXT(ROUND(C88:E88,3),"0.000")))</f>
        <v>node	83	5.180	11.350	2.700</v>
      </c>
    </row>
    <row r="89" spans="1:6" x14ac:dyDescent="0.3">
      <c r="A89" s="66" t="s">
        <v>208</v>
      </c>
      <c r="B89" s="66">
        <v>84</v>
      </c>
      <c r="C89" s="67">
        <v>0</v>
      </c>
      <c r="D89" s="67">
        <v>11.35</v>
      </c>
      <c r="E89" s="67">
        <v>2.7</v>
      </c>
      <c r="F89" s="66" t="str" cm="1">
        <f t="array" ref="F89">TRIM(_xlfn.TEXTJOIN(CHAR(9),TRUE,A89:B89, TEXT(ROUND(C89:E89,3),"0.000")))</f>
        <v>node	84	0.000	11.350	2.700</v>
      </c>
    </row>
    <row r="90" spans="1:6" x14ac:dyDescent="0.3">
      <c r="A90" s="66" t="s">
        <v>208</v>
      </c>
      <c r="B90" s="66">
        <v>85</v>
      </c>
      <c r="C90" s="67">
        <v>11.98</v>
      </c>
      <c r="D90" s="67">
        <v>11.35</v>
      </c>
      <c r="E90" s="67">
        <v>0</v>
      </c>
      <c r="F90" s="66" t="str" cm="1">
        <f t="array" ref="F90">TRIM(_xlfn.TEXTJOIN(CHAR(9),TRUE,A90:B90, TEXT(ROUND(C90:E90,3),"0.000")))</f>
        <v>node	85	11.980	11.350	0.000</v>
      </c>
    </row>
    <row r="91" spans="1:6" x14ac:dyDescent="0.3">
      <c r="A91" s="66" t="s">
        <v>208</v>
      </c>
      <c r="B91" s="66">
        <v>86</v>
      </c>
      <c r="C91" s="67">
        <v>5.18</v>
      </c>
      <c r="D91" s="67">
        <v>11.35</v>
      </c>
      <c r="E91" s="67">
        <v>0</v>
      </c>
      <c r="F91" s="66" t="str" cm="1">
        <f t="array" ref="F91">TRIM(_xlfn.TEXTJOIN(CHAR(9),TRUE,A91:B91, TEXT(ROUND(C91:E91,3),"0.000")))</f>
        <v>node	86	5.180	11.350	0.000</v>
      </c>
    </row>
    <row r="92" spans="1:6" x14ac:dyDescent="0.3">
      <c r="A92" s="66" t="s">
        <v>208</v>
      </c>
      <c r="B92" s="66">
        <v>87</v>
      </c>
      <c r="C92" s="67">
        <v>0</v>
      </c>
      <c r="D92" s="67">
        <v>11.35</v>
      </c>
      <c r="E92" s="67">
        <v>0</v>
      </c>
      <c r="F92" s="66" t="str" cm="1">
        <f t="array" ref="F92">TRIM(_xlfn.TEXTJOIN(CHAR(9),TRUE,A92:B92, TEXT(ROUND(C92:E92,3),"0.000")))</f>
        <v>node	87	0.000	11.350	0.000</v>
      </c>
    </row>
    <row r="93" spans="1:6" x14ac:dyDescent="0.3">
      <c r="A93" s="66" t="s">
        <v>208</v>
      </c>
      <c r="B93" s="66">
        <v>88</v>
      </c>
      <c r="C93" s="67">
        <v>0</v>
      </c>
      <c r="D93" s="67">
        <v>5.73</v>
      </c>
      <c r="E93" s="67">
        <v>6.1</v>
      </c>
      <c r="F93" s="66" t="str" cm="1">
        <f t="array" ref="F93">TRIM(_xlfn.TEXTJOIN(CHAR(9),TRUE,A93:B93, TEXT(ROUND(C93:E93,3),"0.000")))</f>
        <v>node	88	0.000	5.730	6.100</v>
      </c>
    </row>
    <row r="94" spans="1:6" x14ac:dyDescent="0.3">
      <c r="A94" s="66" t="s">
        <v>208</v>
      </c>
      <c r="B94" s="66">
        <v>89</v>
      </c>
      <c r="C94" s="67">
        <v>0</v>
      </c>
      <c r="D94" s="67">
        <v>5.73</v>
      </c>
      <c r="E94" s="67">
        <v>2.7</v>
      </c>
      <c r="F94" s="66" t="str" cm="1">
        <f t="array" ref="F94">TRIM(_xlfn.TEXTJOIN(CHAR(9),TRUE,A94:B94, TEXT(ROUND(C94:E94,3),"0.000")))</f>
        <v>node	89	0.000	5.730	2.700</v>
      </c>
    </row>
    <row r="95" spans="1:6" x14ac:dyDescent="0.3">
      <c r="A95" s="66" t="s">
        <v>208</v>
      </c>
      <c r="B95" s="66">
        <v>90</v>
      </c>
      <c r="C95" s="67">
        <v>0</v>
      </c>
      <c r="D95" s="67">
        <v>5.73</v>
      </c>
      <c r="E95" s="67">
        <v>0</v>
      </c>
      <c r="F95" s="66" t="str" cm="1">
        <f t="array" ref="F95">TRIM(_xlfn.TEXTJOIN(CHAR(9),TRUE,A95:B95, TEXT(ROUND(C95:E95,3),"0.000")))</f>
        <v>node	90	0.000	5.730	0.000</v>
      </c>
    </row>
    <row r="96" spans="1:6" x14ac:dyDescent="0.3">
      <c r="A96" s="66" t="s">
        <v>208</v>
      </c>
      <c r="B96" s="66">
        <v>91</v>
      </c>
      <c r="C96" s="67">
        <v>5.18</v>
      </c>
      <c r="D96" s="67">
        <v>5.73</v>
      </c>
      <c r="E96" s="67">
        <v>6.1</v>
      </c>
      <c r="F96" s="66" t="str" cm="1">
        <f t="array" ref="F96">TRIM(_xlfn.TEXTJOIN(CHAR(9),TRUE,A96:B96, TEXT(ROUND(C96:E96,3),"0.000")))</f>
        <v>node	91	5.180	5.730	6.100</v>
      </c>
    </row>
    <row r="97" spans="1:6" x14ac:dyDescent="0.3">
      <c r="A97" s="66" t="s">
        <v>208</v>
      </c>
      <c r="B97" s="66">
        <v>92</v>
      </c>
      <c r="C97" s="67">
        <v>9.48</v>
      </c>
      <c r="D97" s="67">
        <v>5.73</v>
      </c>
      <c r="E97" s="67">
        <v>6.1</v>
      </c>
      <c r="F97" s="66" t="str" cm="1">
        <f t="array" ref="F97">TRIM(_xlfn.TEXTJOIN(CHAR(9),TRUE,A97:B97, TEXT(ROUND(C97:E97,3),"0.000")))</f>
        <v>node	92	9.480	5.730	6.100</v>
      </c>
    </row>
    <row r="98" spans="1:6" x14ac:dyDescent="0.3">
      <c r="A98" s="66" t="s">
        <v>208</v>
      </c>
      <c r="B98" s="66">
        <v>93</v>
      </c>
      <c r="C98" s="67">
        <v>11.98</v>
      </c>
      <c r="D98" s="67">
        <v>5.73</v>
      </c>
      <c r="E98" s="67">
        <v>6.1</v>
      </c>
      <c r="F98" s="66" t="str" cm="1">
        <f t="array" ref="F98">TRIM(_xlfn.TEXTJOIN(CHAR(9),TRUE,A98:B98, TEXT(ROUND(C98:E98,3),"0.000")))</f>
        <v>node	93	11.980	5.730	6.100</v>
      </c>
    </row>
    <row r="99" spans="1:6" x14ac:dyDescent="0.3">
      <c r="A99" s="66" t="s">
        <v>208</v>
      </c>
      <c r="B99" s="66">
        <v>94</v>
      </c>
      <c r="C99" s="67">
        <v>5.18</v>
      </c>
      <c r="D99" s="67">
        <v>5.73</v>
      </c>
      <c r="E99" s="67">
        <v>2.7</v>
      </c>
      <c r="F99" s="66" t="str" cm="1">
        <f t="array" ref="F99">TRIM(_xlfn.TEXTJOIN(CHAR(9),TRUE,A99:B99, TEXT(ROUND(C99:E99,3),"0.000")))</f>
        <v>node	94	5.180	5.730	2.700</v>
      </c>
    </row>
    <row r="100" spans="1:6" x14ac:dyDescent="0.3">
      <c r="A100" s="66" t="s">
        <v>208</v>
      </c>
      <c r="B100" s="66">
        <v>95</v>
      </c>
      <c r="C100" s="67">
        <v>9.48</v>
      </c>
      <c r="D100" s="67">
        <v>5.73</v>
      </c>
      <c r="E100" s="67">
        <v>2.7</v>
      </c>
      <c r="F100" s="66" t="str" cm="1">
        <f t="array" ref="F100">TRIM(_xlfn.TEXTJOIN(CHAR(9),TRUE,A100:B100, TEXT(ROUND(C100:E100,3),"0.000")))</f>
        <v>node	95	9.480	5.730	2.700</v>
      </c>
    </row>
    <row r="101" spans="1:6" x14ac:dyDescent="0.3">
      <c r="A101" s="66" t="s">
        <v>208</v>
      </c>
      <c r="B101" s="66">
        <v>96</v>
      </c>
      <c r="C101" s="67">
        <v>11.98</v>
      </c>
      <c r="D101" s="67">
        <v>5.73</v>
      </c>
      <c r="E101" s="67">
        <v>2.7</v>
      </c>
      <c r="F101" s="66" t="str" cm="1">
        <f t="array" ref="F101">TRIM(_xlfn.TEXTJOIN(CHAR(9),TRUE,A101:B101, TEXT(ROUND(C101:E101,3),"0.000")))</f>
        <v>node	96	11.980	5.730	2.700</v>
      </c>
    </row>
    <row r="102" spans="1:6" x14ac:dyDescent="0.3">
      <c r="A102" s="65" t="s">
        <v>208</v>
      </c>
      <c r="B102" s="66">
        <v>97</v>
      </c>
      <c r="C102" s="67">
        <v>5.18</v>
      </c>
      <c r="D102" s="67">
        <v>5.73</v>
      </c>
      <c r="E102" s="67">
        <v>0</v>
      </c>
      <c r="F102" s="66" t="str" cm="1">
        <f t="array" ref="F102">TRIM(_xlfn.TEXTJOIN(CHAR(9),TRUE,A102:B102, TEXT(ROUND(C102:E102,3),"0.000")))</f>
        <v>node	97	5.180	5.730	0.000</v>
      </c>
    </row>
    <row r="103" spans="1:6" x14ac:dyDescent="0.3">
      <c r="A103" s="66" t="s">
        <v>208</v>
      </c>
      <c r="B103" s="66">
        <v>98</v>
      </c>
      <c r="C103" s="67">
        <v>9.48</v>
      </c>
      <c r="D103" s="67">
        <v>5.73</v>
      </c>
      <c r="E103" s="67">
        <v>0</v>
      </c>
      <c r="F103" s="66" t="str" cm="1">
        <f t="array" ref="F103">TRIM(_xlfn.TEXTJOIN(CHAR(9),TRUE,A103:B103, TEXT(ROUND(C103:E103,3),"0.000")))</f>
        <v>node	98	9.480	5.730	0.000</v>
      </c>
    </row>
    <row r="104" spans="1:6" x14ac:dyDescent="0.3">
      <c r="A104" s="66" t="s">
        <v>208</v>
      </c>
      <c r="B104" s="66">
        <v>99</v>
      </c>
      <c r="C104" s="67">
        <v>11.98</v>
      </c>
      <c r="D104" s="67">
        <v>5.73</v>
      </c>
      <c r="E104" s="67">
        <v>0</v>
      </c>
      <c r="F104" s="66" t="str" cm="1">
        <f t="array" ref="F104">TRIM(_xlfn.TEXTJOIN(CHAR(9),TRUE,A104:B104, TEXT(ROUND(C104:E104,3),"0.000")))</f>
        <v>node	99	11.980	5.730	0.000</v>
      </c>
    </row>
    <row r="105" spans="1:6" x14ac:dyDescent="0.3">
      <c r="A105" s="66" t="s">
        <v>208</v>
      </c>
      <c r="B105" s="66">
        <v>100</v>
      </c>
      <c r="C105" s="67">
        <v>11.98</v>
      </c>
      <c r="D105" s="67">
        <v>1.53</v>
      </c>
      <c r="E105" s="67">
        <v>6.1</v>
      </c>
      <c r="F105" s="66" t="str" cm="1">
        <f t="array" ref="F105">TRIM(_xlfn.TEXTJOIN(CHAR(9),TRUE,A105:B105, TEXT(ROUND(C105:E105,3),"0.000")))</f>
        <v>node	100	11.980	1.530	6.100</v>
      </c>
    </row>
    <row r="106" spans="1:6" x14ac:dyDescent="0.3">
      <c r="A106" s="66" t="s">
        <v>208</v>
      </c>
      <c r="B106" s="66">
        <v>101</v>
      </c>
      <c r="C106" s="67">
        <v>11.98</v>
      </c>
      <c r="D106" s="67">
        <v>1.53</v>
      </c>
      <c r="E106" s="67">
        <v>2.7</v>
      </c>
      <c r="F106" s="66" t="str" cm="1">
        <f t="array" ref="F106">TRIM(_xlfn.TEXTJOIN(CHAR(9),TRUE,A106:B106, TEXT(ROUND(C106:E106,3),"0.000")))</f>
        <v>node	101	11.980	1.530	2.700</v>
      </c>
    </row>
    <row r="107" spans="1:6" x14ac:dyDescent="0.3">
      <c r="A107" s="66" t="s">
        <v>208</v>
      </c>
      <c r="B107" s="66">
        <v>102</v>
      </c>
      <c r="C107" s="67">
        <v>11.98</v>
      </c>
      <c r="D107" s="67">
        <v>1.53</v>
      </c>
      <c r="E107" s="67">
        <v>0</v>
      </c>
      <c r="F107" s="66" t="str" cm="1">
        <f t="array" ref="F107">TRIM(_xlfn.TEXTJOIN(CHAR(9),TRUE,A107:B107, TEXT(ROUND(C107:E107,3),"0.000")))</f>
        <v>node	102	11.980	1.530	0.000</v>
      </c>
    </row>
    <row r="108" spans="1:6" x14ac:dyDescent="0.3">
      <c r="A108" s="66" t="s">
        <v>208</v>
      </c>
      <c r="B108" s="66">
        <v>103</v>
      </c>
      <c r="C108" s="67">
        <v>2.68</v>
      </c>
      <c r="D108" s="67">
        <v>0</v>
      </c>
      <c r="E108" s="67">
        <v>5.7750000000000004</v>
      </c>
      <c r="F108" s="66" t="str" cm="1">
        <f t="array" ref="F108">TRIM(_xlfn.TEXTJOIN(CHAR(9),TRUE,A108:B108, TEXT(ROUND(C108:E108,3),"0.000")))</f>
        <v>node	103	2.680	0.000	5.775</v>
      </c>
    </row>
    <row r="109" spans="1:6" x14ac:dyDescent="0.3">
      <c r="A109" s="66" t="s">
        <v>208</v>
      </c>
      <c r="B109" s="66">
        <v>104</v>
      </c>
      <c r="C109" s="67">
        <v>6.38</v>
      </c>
      <c r="D109" s="67">
        <v>0</v>
      </c>
      <c r="E109" s="67">
        <v>5.7750000000000004</v>
      </c>
      <c r="F109" s="66" t="str" cm="1">
        <f t="array" ref="F109">TRIM(_xlfn.TEXTJOIN(CHAR(9),TRUE,A109:B109, TEXT(ROUND(C109:E109,3),"0.000")))</f>
        <v>node	104	6.380	0.000	5.775</v>
      </c>
    </row>
    <row r="110" spans="1:6" x14ac:dyDescent="0.3">
      <c r="A110" s="66" t="s">
        <v>208</v>
      </c>
      <c r="B110" s="66">
        <v>105</v>
      </c>
      <c r="C110" s="67">
        <v>10.79</v>
      </c>
      <c r="D110" s="67">
        <v>0</v>
      </c>
      <c r="E110" s="67">
        <v>5.7750000000000004</v>
      </c>
      <c r="F110" s="66" t="str" cm="1">
        <f t="array" ref="F110">TRIM(_xlfn.TEXTJOIN(CHAR(9),TRUE,A110:B110, TEXT(ROUND(C110:E110,3),"0.000")))</f>
        <v>node	105	10.790	0.000	5.775</v>
      </c>
    </row>
    <row r="111" spans="1:6" x14ac:dyDescent="0.3">
      <c r="A111" s="66" t="s">
        <v>208</v>
      </c>
      <c r="B111" s="66">
        <v>106</v>
      </c>
      <c r="C111" s="67">
        <v>14.49</v>
      </c>
      <c r="D111" s="67">
        <v>0</v>
      </c>
      <c r="E111" s="67">
        <v>5.7750000000000004</v>
      </c>
      <c r="F111" s="66" t="str" cm="1">
        <f t="array" ref="F111">TRIM(_xlfn.TEXTJOIN(CHAR(9),TRUE,A111:B111, TEXT(ROUND(C111:E111,3),"0.000")))</f>
        <v>node	106	14.490	0.000	5.775</v>
      </c>
    </row>
    <row r="112" spans="1:6" x14ac:dyDescent="0.3">
      <c r="A112" s="66" t="s">
        <v>208</v>
      </c>
      <c r="B112" s="66">
        <v>107</v>
      </c>
      <c r="C112" s="67">
        <v>1.04</v>
      </c>
      <c r="D112" s="67">
        <v>0</v>
      </c>
      <c r="E112" s="67">
        <v>4.5999999999999996</v>
      </c>
      <c r="F112" s="66" t="str" cm="1">
        <f t="array" ref="F112">TRIM(_xlfn.TEXTJOIN(CHAR(9),TRUE,A112:B112, TEXT(ROUND(C112:E112,3),"0.000")))</f>
        <v>node	107	1.040	0.000	4.600</v>
      </c>
    </row>
    <row r="113" spans="1:6" x14ac:dyDescent="0.3">
      <c r="A113" s="66" t="s">
        <v>208</v>
      </c>
      <c r="B113" s="66">
        <v>108</v>
      </c>
      <c r="C113" s="67">
        <v>4.53</v>
      </c>
      <c r="D113" s="67">
        <v>0</v>
      </c>
      <c r="E113" s="67">
        <v>4.5999999999999996</v>
      </c>
      <c r="F113" s="66" t="str" cm="1">
        <f t="array" ref="F113">TRIM(_xlfn.TEXTJOIN(CHAR(9),TRUE,A113:B113, TEXT(ROUND(C113:E113,3),"0.000")))</f>
        <v>node	108	4.530	0.000	4.600</v>
      </c>
    </row>
    <row r="114" spans="1:6" x14ac:dyDescent="0.3">
      <c r="A114" s="65" t="s">
        <v>208</v>
      </c>
      <c r="B114" s="66">
        <v>109</v>
      </c>
      <c r="C114" s="67">
        <v>8.58</v>
      </c>
      <c r="D114" s="67">
        <v>0</v>
      </c>
      <c r="E114" s="67">
        <v>4.5999999999999996</v>
      </c>
      <c r="F114" s="66" t="str" cm="1">
        <f t="array" ref="F114">TRIM(_xlfn.TEXTJOIN(CHAR(9),TRUE,A114:B114, TEXT(ROUND(C114:E114,3),"0.000")))</f>
        <v>node	109	8.580	0.000	4.600</v>
      </c>
    </row>
    <row r="115" spans="1:6" x14ac:dyDescent="0.3">
      <c r="A115" s="66" t="s">
        <v>208</v>
      </c>
      <c r="B115" s="66">
        <v>110</v>
      </c>
      <c r="C115" s="67">
        <v>12.68</v>
      </c>
      <c r="D115" s="67">
        <v>0</v>
      </c>
      <c r="E115" s="67">
        <v>4.5999999999999996</v>
      </c>
      <c r="F115" s="66" t="str" cm="1">
        <f t="array" ref="F115">TRIM(_xlfn.TEXTJOIN(CHAR(9),TRUE,A115:B115, TEXT(ROUND(C115:E115,3),"0.000")))</f>
        <v>node	110	12.680	0.000	4.600</v>
      </c>
    </row>
    <row r="116" spans="1:6" x14ac:dyDescent="0.3">
      <c r="A116" s="66" t="s">
        <v>208</v>
      </c>
      <c r="B116" s="66">
        <v>111</v>
      </c>
      <c r="C116" s="67">
        <v>16.12</v>
      </c>
      <c r="D116" s="67">
        <v>0</v>
      </c>
      <c r="E116" s="67">
        <v>4.5999999999999996</v>
      </c>
      <c r="F116" s="66" t="str" cm="1">
        <f t="array" ref="F116">TRIM(_xlfn.TEXTJOIN(CHAR(9),TRUE,A116:B116, TEXT(ROUND(C116:E116,3),"0.000")))</f>
        <v>node	111	16.120	0.000	4.600</v>
      </c>
    </row>
    <row r="117" spans="1:6" x14ac:dyDescent="0.3">
      <c r="A117" s="66" t="s">
        <v>208</v>
      </c>
      <c r="B117" s="66">
        <v>112</v>
      </c>
      <c r="C117" s="67">
        <v>2.68</v>
      </c>
      <c r="D117" s="67">
        <v>0</v>
      </c>
      <c r="E117" s="67">
        <v>2.9750000000000001</v>
      </c>
      <c r="F117" s="66" t="str" cm="1">
        <f t="array" ref="F117">TRIM(_xlfn.TEXTJOIN(CHAR(9),TRUE,A117:B117, TEXT(ROUND(C117:E117,3),"0.000")))</f>
        <v>node	112	2.680	0.000	2.975</v>
      </c>
    </row>
    <row r="118" spans="1:6" x14ac:dyDescent="0.3">
      <c r="A118" s="66" t="s">
        <v>208</v>
      </c>
      <c r="B118" s="66">
        <v>113</v>
      </c>
      <c r="C118" s="67">
        <v>6.38</v>
      </c>
      <c r="D118" s="67">
        <v>0</v>
      </c>
      <c r="E118" s="67">
        <v>2.9750000000000001</v>
      </c>
      <c r="F118" s="66" t="str" cm="1">
        <f t="array" ref="F118">TRIM(_xlfn.TEXTJOIN(CHAR(9),TRUE,A118:B118, TEXT(ROUND(C118:E118,3),"0.000")))</f>
        <v>node	113	6.380	0.000	2.975</v>
      </c>
    </row>
    <row r="119" spans="1:6" x14ac:dyDescent="0.3">
      <c r="A119" s="66" t="s">
        <v>208</v>
      </c>
      <c r="B119" s="66">
        <v>114</v>
      </c>
      <c r="C119" s="67">
        <v>10.79</v>
      </c>
      <c r="D119" s="67">
        <v>0</v>
      </c>
      <c r="E119" s="67">
        <v>2.9750000000000001</v>
      </c>
      <c r="F119" s="66" t="str" cm="1">
        <f t="array" ref="F119">TRIM(_xlfn.TEXTJOIN(CHAR(9),TRUE,A119:B119, TEXT(ROUND(C119:E119,3),"0.000")))</f>
        <v>node	114	10.790	0.000	2.975</v>
      </c>
    </row>
    <row r="120" spans="1:6" x14ac:dyDescent="0.3">
      <c r="A120" s="66" t="s">
        <v>208</v>
      </c>
      <c r="B120" s="66">
        <v>115</v>
      </c>
      <c r="C120" s="67">
        <v>14.49</v>
      </c>
      <c r="D120" s="67">
        <v>0</v>
      </c>
      <c r="E120" s="67">
        <v>2.9750000000000001</v>
      </c>
      <c r="F120" s="66" t="str" cm="1">
        <f t="array" ref="F120">TRIM(_xlfn.TEXTJOIN(CHAR(9),TRUE,A120:B120, TEXT(ROUND(C120:E120,3),"0.000")))</f>
        <v>node	115	14.490	0.000	2.975</v>
      </c>
    </row>
    <row r="121" spans="1:6" x14ac:dyDescent="0.3">
      <c r="A121" s="66" t="s">
        <v>208</v>
      </c>
      <c r="B121" s="66">
        <v>116</v>
      </c>
      <c r="C121" s="67">
        <v>1.04</v>
      </c>
      <c r="D121" s="67">
        <v>0</v>
      </c>
      <c r="E121" s="67">
        <v>1.5</v>
      </c>
      <c r="F121" s="66" t="str" cm="1">
        <f t="array" ref="F121">TRIM(_xlfn.TEXTJOIN(CHAR(9),TRUE,A121:B121, TEXT(ROUND(C121:E121,3),"0.000")))</f>
        <v>node	116	1.040	0.000	1.500</v>
      </c>
    </row>
    <row r="122" spans="1:6" x14ac:dyDescent="0.3">
      <c r="A122" s="66" t="s">
        <v>208</v>
      </c>
      <c r="B122" s="66">
        <v>117</v>
      </c>
      <c r="C122" s="67">
        <v>4.53</v>
      </c>
      <c r="D122" s="67">
        <v>0</v>
      </c>
      <c r="E122" s="67">
        <v>1.5</v>
      </c>
      <c r="F122" s="66" t="str" cm="1">
        <f t="array" ref="F122">TRIM(_xlfn.TEXTJOIN(CHAR(9),TRUE,A122:B122, TEXT(ROUND(C122:E122,3),"0.000")))</f>
        <v>node	117	4.530	0.000	1.500</v>
      </c>
    </row>
    <row r="123" spans="1:6" x14ac:dyDescent="0.3">
      <c r="A123" s="66" t="s">
        <v>208</v>
      </c>
      <c r="B123" s="66">
        <v>118</v>
      </c>
      <c r="C123" s="67">
        <v>7.41</v>
      </c>
      <c r="D123" s="67">
        <v>0</v>
      </c>
      <c r="E123" s="67">
        <v>1.1000000000000001</v>
      </c>
      <c r="F123" s="66" t="str" cm="1">
        <f t="array" ref="F123">TRIM(_xlfn.TEXTJOIN(CHAR(9),TRUE,A123:B123, TEXT(ROUND(C123:E123,3),"0.000")))</f>
        <v>node	118	7.410	0.000	1.100</v>
      </c>
    </row>
    <row r="124" spans="1:6" x14ac:dyDescent="0.3">
      <c r="A124" s="66" t="s">
        <v>208</v>
      </c>
      <c r="B124" s="66">
        <v>119</v>
      </c>
      <c r="C124" s="67">
        <v>9.76</v>
      </c>
      <c r="D124" s="67">
        <v>0</v>
      </c>
      <c r="E124" s="67">
        <v>1.1000000000000001</v>
      </c>
      <c r="F124" s="66" t="str" cm="1">
        <f t="array" ref="F124">TRIM(_xlfn.TEXTJOIN(CHAR(9),TRUE,A124:B124, TEXT(ROUND(C124:E124,3),"0.000")))</f>
        <v>node	119	9.760	0.000	1.100</v>
      </c>
    </row>
    <row r="125" spans="1:6" x14ac:dyDescent="0.3">
      <c r="A125" s="66" t="s">
        <v>208</v>
      </c>
      <c r="B125" s="66">
        <v>120</v>
      </c>
      <c r="C125" s="67">
        <v>12.63</v>
      </c>
      <c r="D125" s="67">
        <v>0</v>
      </c>
      <c r="E125" s="67">
        <v>1.5</v>
      </c>
      <c r="F125" s="66" t="str" cm="1">
        <f t="array" ref="F125">TRIM(_xlfn.TEXTJOIN(CHAR(9),TRUE,A125:B125, TEXT(ROUND(C125:E125,3),"0.000")))</f>
        <v>node	120	12.630	0.000	1.500</v>
      </c>
    </row>
    <row r="126" spans="1:6" x14ac:dyDescent="0.3">
      <c r="A126" s="66" t="s">
        <v>208</v>
      </c>
      <c r="B126" s="66">
        <v>121</v>
      </c>
      <c r="C126" s="67">
        <v>16.12</v>
      </c>
      <c r="D126" s="67">
        <v>0</v>
      </c>
      <c r="E126" s="67">
        <v>1.5</v>
      </c>
      <c r="F126" s="66" t="str" cm="1">
        <f t="array" ref="F126">TRIM(_xlfn.TEXTJOIN(CHAR(9),TRUE,A126:B126, TEXT(ROUND(C126:E126,3),"0.000")))</f>
        <v>node	121	16.120	0.000	1.500</v>
      </c>
    </row>
    <row r="127" spans="1:6" x14ac:dyDescent="0.3">
      <c r="A127" s="66" t="s">
        <v>208</v>
      </c>
      <c r="B127" s="66">
        <v>122</v>
      </c>
      <c r="C127" s="67">
        <v>2.68</v>
      </c>
      <c r="D127" s="67">
        <v>0</v>
      </c>
      <c r="E127" s="67">
        <v>0.4</v>
      </c>
      <c r="F127" s="66" t="str" cm="1">
        <f t="array" ref="F127">TRIM(_xlfn.TEXTJOIN(CHAR(9),TRUE,A127:B127, TEXT(ROUND(C127:E127,3),"0.000")))</f>
        <v>node	122	2.680	0.000	0.400</v>
      </c>
    </row>
    <row r="128" spans="1:6" x14ac:dyDescent="0.3">
      <c r="A128" s="66" t="s">
        <v>208</v>
      </c>
      <c r="B128" s="66">
        <v>123</v>
      </c>
      <c r="C128" s="67">
        <v>6.38</v>
      </c>
      <c r="D128" s="67">
        <v>0</v>
      </c>
      <c r="E128" s="67">
        <v>0.4</v>
      </c>
      <c r="F128" s="66" t="str" cm="1">
        <f t="array" ref="F128">TRIM(_xlfn.TEXTJOIN(CHAR(9),TRUE,A128:B128, TEXT(ROUND(C128:E128,3),"0.000")))</f>
        <v>node	123	6.380	0.000	0.400</v>
      </c>
    </row>
    <row r="129" spans="1:6" x14ac:dyDescent="0.3">
      <c r="A129" s="66" t="s">
        <v>208</v>
      </c>
      <c r="B129" s="66">
        <v>124</v>
      </c>
      <c r="C129" s="67">
        <v>10.79</v>
      </c>
      <c r="D129" s="67">
        <v>0</v>
      </c>
      <c r="E129" s="67">
        <v>0.4</v>
      </c>
      <c r="F129" s="66" t="str" cm="1">
        <f t="array" ref="F129">TRIM(_xlfn.TEXTJOIN(CHAR(9),TRUE,A129:B129, TEXT(ROUND(C129:E129,3),"0.000")))</f>
        <v>node	124	10.790	0.000	0.400</v>
      </c>
    </row>
    <row r="130" spans="1:6" x14ac:dyDescent="0.3">
      <c r="A130" s="65" t="s">
        <v>208</v>
      </c>
      <c r="B130" s="66">
        <v>125</v>
      </c>
      <c r="C130" s="67">
        <v>14.49</v>
      </c>
      <c r="D130" s="67">
        <v>0</v>
      </c>
      <c r="E130" s="67">
        <v>0.4</v>
      </c>
      <c r="F130" s="66" t="str" cm="1">
        <f t="array" ref="F130">TRIM(_xlfn.TEXTJOIN(CHAR(9),TRUE,A130:B130, TEXT(ROUND(C130:E130,3),"0.000")))</f>
        <v>node	125	14.490	0.000	0.400</v>
      </c>
    </row>
    <row r="131" spans="1:6" x14ac:dyDescent="0.3">
      <c r="A131" s="66" t="s">
        <v>208</v>
      </c>
      <c r="B131" s="66">
        <v>126</v>
      </c>
      <c r="C131" s="67">
        <v>17.149999999999999</v>
      </c>
      <c r="D131" s="67">
        <v>2.88</v>
      </c>
      <c r="E131" s="67">
        <v>5.7750000000000004</v>
      </c>
      <c r="F131" s="66" t="str" cm="1">
        <f t="array" ref="F131">TRIM(_xlfn.TEXTJOIN(CHAR(9),TRUE,A131:B131, TEXT(ROUND(C131:E131,3),"0.000")))</f>
        <v>node	126	17.150	2.880	5.775</v>
      </c>
    </row>
    <row r="132" spans="1:6" x14ac:dyDescent="0.3">
      <c r="A132" s="66" t="s">
        <v>208</v>
      </c>
      <c r="B132" s="66">
        <v>127</v>
      </c>
      <c r="C132" s="67">
        <v>17.149999999999999</v>
      </c>
      <c r="D132" s="67">
        <v>8.48</v>
      </c>
      <c r="E132" s="67">
        <v>5.7750000000000004</v>
      </c>
      <c r="F132" s="66" t="str" cm="1">
        <f t="array" ref="F132">TRIM(_xlfn.TEXTJOIN(CHAR(9),TRUE,A132:B132, TEXT(ROUND(C132:E132,3),"0.000")))</f>
        <v>node	127	17.150	8.480	5.775</v>
      </c>
    </row>
    <row r="133" spans="1:6" x14ac:dyDescent="0.3">
      <c r="A133" s="66" t="s">
        <v>208</v>
      </c>
      <c r="B133" s="66">
        <v>128</v>
      </c>
      <c r="C133" s="67">
        <v>17.149999999999999</v>
      </c>
      <c r="D133" s="67">
        <v>1.1399999999999999</v>
      </c>
      <c r="E133" s="67">
        <v>4.5999999999999996</v>
      </c>
      <c r="F133" s="66" t="str" cm="1">
        <f t="array" ref="F133">TRIM(_xlfn.TEXTJOIN(CHAR(9),TRUE,A133:B133, TEXT(ROUND(C133:E133,3),"0.000")))</f>
        <v>node	128	17.150	1.140	4.600</v>
      </c>
    </row>
    <row r="134" spans="1:6" x14ac:dyDescent="0.3">
      <c r="A134" s="66" t="s">
        <v>208</v>
      </c>
      <c r="B134" s="66">
        <v>129</v>
      </c>
      <c r="C134" s="67">
        <v>17.149999999999999</v>
      </c>
      <c r="D134" s="67">
        <v>5.68</v>
      </c>
      <c r="E134" s="67">
        <v>4.5999999999999996</v>
      </c>
      <c r="F134" s="66" t="str" cm="1">
        <f t="array" ref="F134">TRIM(_xlfn.TEXTJOIN(CHAR(9),TRUE,A134:B134, TEXT(ROUND(C134:E134,3),"0.000")))</f>
        <v>node	129	17.150	5.680	4.600</v>
      </c>
    </row>
    <row r="135" spans="1:6" x14ac:dyDescent="0.3">
      <c r="A135" s="66" t="s">
        <v>208</v>
      </c>
      <c r="B135" s="66">
        <v>130</v>
      </c>
      <c r="C135" s="67">
        <v>17.149999999999999</v>
      </c>
      <c r="D135" s="67">
        <v>10.220000000000001</v>
      </c>
      <c r="E135" s="67">
        <v>4.5999999999999996</v>
      </c>
      <c r="F135" s="66" t="str" cm="1">
        <f t="array" ref="F135">TRIM(_xlfn.TEXTJOIN(CHAR(9),TRUE,A135:B135, TEXT(ROUND(C135:E135,3),"0.000")))</f>
        <v>node	130	17.150	10.220	4.600</v>
      </c>
    </row>
    <row r="136" spans="1:6" x14ac:dyDescent="0.3">
      <c r="A136" s="66" t="s">
        <v>208</v>
      </c>
      <c r="B136" s="66">
        <v>131</v>
      </c>
      <c r="C136" s="67">
        <v>17.149999999999999</v>
      </c>
      <c r="D136" s="67">
        <v>2.88</v>
      </c>
      <c r="E136" s="67">
        <v>2.9750000000000001</v>
      </c>
      <c r="F136" s="66" t="str" cm="1">
        <f t="array" ref="F136">TRIM(_xlfn.TEXTJOIN(CHAR(9),TRUE,A136:B136, TEXT(ROUND(C136:E136,3),"0.000")))</f>
        <v>node	131	17.150	2.880	2.975</v>
      </c>
    </row>
    <row r="137" spans="1:6" x14ac:dyDescent="0.3">
      <c r="A137" s="66" t="s">
        <v>208</v>
      </c>
      <c r="B137" s="66">
        <v>132</v>
      </c>
      <c r="C137" s="67">
        <v>17.149999999999999</v>
      </c>
      <c r="D137" s="67">
        <v>8.48</v>
      </c>
      <c r="E137" s="67">
        <v>2.9750000000000001</v>
      </c>
      <c r="F137" s="66" t="str" cm="1">
        <f t="array" ref="F137">TRIM(_xlfn.TEXTJOIN(CHAR(9),TRUE,A137:B137, TEXT(ROUND(C137:E137,3),"0.000")))</f>
        <v>node	132	17.150	8.480	2.975</v>
      </c>
    </row>
    <row r="138" spans="1:6" x14ac:dyDescent="0.3">
      <c r="A138" s="65" t="s">
        <v>208</v>
      </c>
      <c r="B138" s="66">
        <v>133</v>
      </c>
      <c r="C138" s="67">
        <v>17.149999999999999</v>
      </c>
      <c r="D138" s="67">
        <v>1.1399999999999999</v>
      </c>
      <c r="E138" s="67">
        <v>1.1000000000000001</v>
      </c>
      <c r="F138" s="66" t="str" cm="1">
        <f t="array" ref="F138">TRIM(_xlfn.TEXTJOIN(CHAR(9),TRUE,A138:B138, TEXT(ROUND(C138:E138,3),"0.000")))</f>
        <v>node	133	17.150	1.140	1.100</v>
      </c>
    </row>
    <row r="139" spans="1:6" x14ac:dyDescent="0.3">
      <c r="A139" s="66" t="s">
        <v>208</v>
      </c>
      <c r="B139" s="66">
        <v>134</v>
      </c>
      <c r="C139" s="67">
        <v>17.149999999999999</v>
      </c>
      <c r="D139" s="67">
        <v>5.68</v>
      </c>
      <c r="E139" s="67">
        <v>1.1000000000000001</v>
      </c>
      <c r="F139" s="66" t="str" cm="1">
        <f t="array" ref="F139">TRIM(_xlfn.TEXTJOIN(CHAR(9),TRUE,A139:B139, TEXT(ROUND(C139:E139,3),"0.000")))</f>
        <v>node	134	17.150	5.680	1.100</v>
      </c>
    </row>
    <row r="140" spans="1:6" x14ac:dyDescent="0.3">
      <c r="A140" s="66" t="s">
        <v>208</v>
      </c>
      <c r="B140" s="66">
        <v>135</v>
      </c>
      <c r="C140" s="67">
        <v>17.149999999999999</v>
      </c>
      <c r="D140" s="67">
        <v>10.220000000000001</v>
      </c>
      <c r="E140" s="67">
        <v>1.5</v>
      </c>
      <c r="F140" s="66" t="str" cm="1">
        <f t="array" ref="F140">TRIM(_xlfn.TEXTJOIN(CHAR(9),TRUE,A140:B140, TEXT(ROUND(C140:E140,3),"0.000")))</f>
        <v>node	135	17.150	10.220	1.500</v>
      </c>
    </row>
    <row r="141" spans="1:6" x14ac:dyDescent="0.3">
      <c r="A141" s="66" t="s">
        <v>208</v>
      </c>
      <c r="B141" s="66">
        <v>136</v>
      </c>
      <c r="C141" s="67">
        <v>17.149999999999999</v>
      </c>
      <c r="D141" s="67">
        <v>8.48</v>
      </c>
      <c r="E141" s="67">
        <v>0.4</v>
      </c>
      <c r="F141" s="66" t="str" cm="1">
        <f t="array" ref="F141">TRIM(_xlfn.TEXTJOIN(CHAR(9),TRUE,A141:B141, TEXT(ROUND(C141:E141,3),"0.000")))</f>
        <v>node	136	17.150	8.480	0.400</v>
      </c>
    </row>
    <row r="142" spans="1:6" x14ac:dyDescent="0.3">
      <c r="A142" s="65" t="s">
        <v>208</v>
      </c>
      <c r="B142" s="66">
        <v>137</v>
      </c>
      <c r="C142" s="67">
        <v>14.47</v>
      </c>
      <c r="D142" s="67">
        <v>11.35</v>
      </c>
      <c r="E142" s="67">
        <v>5.7750000000000004</v>
      </c>
      <c r="F142" s="66" t="str" cm="1">
        <f t="array" ref="F142">TRIM(_xlfn.TEXTJOIN(CHAR(9),TRUE,A142:B142, TEXT(ROUND(C142:E142,3),"0.000")))</f>
        <v>node	137	14.470	11.350	5.775</v>
      </c>
    </row>
    <row r="143" spans="1:6" x14ac:dyDescent="0.3">
      <c r="A143" s="66" t="s">
        <v>208</v>
      </c>
      <c r="B143" s="66">
        <v>138</v>
      </c>
      <c r="C143" s="67">
        <v>10.57</v>
      </c>
      <c r="D143" s="67">
        <v>11.35</v>
      </c>
      <c r="E143" s="67">
        <v>5.7750000000000004</v>
      </c>
      <c r="F143" s="66" t="str" cm="1">
        <f t="array" ref="F143">TRIM(_xlfn.TEXTJOIN(CHAR(9),TRUE,A143:B143, TEXT(ROUND(C143:E143,3),"0.000")))</f>
        <v>node	138	10.570	11.350	5.775</v>
      </c>
    </row>
    <row r="144" spans="1:6" x14ac:dyDescent="0.3">
      <c r="A144" s="66" t="s">
        <v>208</v>
      </c>
      <c r="B144" s="66">
        <v>139</v>
      </c>
      <c r="C144" s="67">
        <v>6.57</v>
      </c>
      <c r="D144" s="67">
        <v>11.35</v>
      </c>
      <c r="E144" s="67">
        <v>5.7750000000000004</v>
      </c>
      <c r="F144" s="66" t="str" cm="1">
        <f t="array" ref="F144">TRIM(_xlfn.TEXTJOIN(CHAR(9),TRUE,A144:B144, TEXT(ROUND(C144:E144,3),"0.000")))</f>
        <v>node	139	6.570	11.350	5.775</v>
      </c>
    </row>
    <row r="145" spans="1:6" x14ac:dyDescent="0.3">
      <c r="A145" s="66" t="s">
        <v>208</v>
      </c>
      <c r="B145" s="66">
        <v>140</v>
      </c>
      <c r="C145" s="67">
        <v>2.67</v>
      </c>
      <c r="D145" s="67">
        <v>11.35</v>
      </c>
      <c r="E145" s="67">
        <v>5.7750000000000004</v>
      </c>
      <c r="F145" s="66" t="str" cm="1">
        <f t="array" ref="F145">TRIM(_xlfn.TEXTJOIN(CHAR(9),TRUE,A145:B145, TEXT(ROUND(C145:E145,3),"0.000")))</f>
        <v>node	140	2.670	11.350	5.775</v>
      </c>
    </row>
    <row r="146" spans="1:6" x14ac:dyDescent="0.3">
      <c r="A146" s="66" t="s">
        <v>208</v>
      </c>
      <c r="B146" s="66">
        <v>141</v>
      </c>
      <c r="C146" s="67">
        <v>16.11</v>
      </c>
      <c r="D146" s="67">
        <v>11.35</v>
      </c>
      <c r="E146" s="67">
        <v>4.5999999999999996</v>
      </c>
      <c r="F146" s="66" t="str" cm="1">
        <f t="array" ref="F146">TRIM(_xlfn.TEXTJOIN(CHAR(9),TRUE,A146:B146, TEXT(ROUND(C146:E146,3),"0.000")))</f>
        <v>node	141	16.110	11.350	4.600</v>
      </c>
    </row>
    <row r="147" spans="1:6" x14ac:dyDescent="0.3">
      <c r="A147" s="66" t="s">
        <v>208</v>
      </c>
      <c r="B147" s="66">
        <v>142</v>
      </c>
      <c r="C147" s="67">
        <v>12.52</v>
      </c>
      <c r="D147" s="67">
        <v>11.35</v>
      </c>
      <c r="E147" s="67">
        <v>4.5999999999999996</v>
      </c>
      <c r="F147" s="66" t="str" cm="1">
        <f t="array" ref="F147">TRIM(_xlfn.TEXTJOIN(CHAR(9),TRUE,A147:B147, TEXT(ROUND(C147:E147,3),"0.000")))</f>
        <v>node	142	12.520	11.350	4.600</v>
      </c>
    </row>
    <row r="148" spans="1:6" x14ac:dyDescent="0.3">
      <c r="A148" s="66" t="s">
        <v>208</v>
      </c>
      <c r="B148" s="66">
        <v>143</v>
      </c>
      <c r="C148" s="67">
        <v>8.57</v>
      </c>
      <c r="D148" s="67">
        <v>11.35</v>
      </c>
      <c r="E148" s="67">
        <v>4.5999999999999996</v>
      </c>
      <c r="F148" s="66" t="str" cm="1">
        <f t="array" ref="F148">TRIM(_xlfn.TEXTJOIN(CHAR(9),TRUE,A148:B148, TEXT(ROUND(C148:E148,3),"0.000")))</f>
        <v>node	143	8.570	11.350	4.600</v>
      </c>
    </row>
    <row r="149" spans="1:6" x14ac:dyDescent="0.3">
      <c r="A149" s="66" t="s">
        <v>208</v>
      </c>
      <c r="B149" s="66">
        <v>144</v>
      </c>
      <c r="C149" s="67">
        <v>4.62</v>
      </c>
      <c r="D149" s="67">
        <v>11.35</v>
      </c>
      <c r="E149" s="67">
        <v>4.5999999999999996</v>
      </c>
      <c r="F149" s="66" t="str" cm="1">
        <f t="array" ref="F149">TRIM(_xlfn.TEXTJOIN(CHAR(9),TRUE,A149:B149, TEXT(ROUND(C149:E149,3),"0.000")))</f>
        <v>node	144	4.620	11.350	4.600</v>
      </c>
    </row>
    <row r="150" spans="1:6" x14ac:dyDescent="0.3">
      <c r="A150" s="66" t="s">
        <v>208</v>
      </c>
      <c r="B150" s="66">
        <v>145</v>
      </c>
      <c r="C150" s="67">
        <v>1.03</v>
      </c>
      <c r="D150" s="67">
        <v>11.35</v>
      </c>
      <c r="E150" s="67">
        <v>4.5999999999999996</v>
      </c>
      <c r="F150" s="66" t="str" cm="1">
        <f t="array" ref="F150">TRIM(_xlfn.TEXTJOIN(CHAR(9),TRUE,A150:B150, TEXT(ROUND(C150:E150,3),"0.000")))</f>
        <v>node	145	1.030	11.350	4.600</v>
      </c>
    </row>
    <row r="151" spans="1:6" x14ac:dyDescent="0.3">
      <c r="A151" s="66" t="s">
        <v>208</v>
      </c>
      <c r="B151" s="66">
        <v>146</v>
      </c>
      <c r="C151" s="67">
        <v>14.47</v>
      </c>
      <c r="D151" s="67">
        <v>11.35</v>
      </c>
      <c r="E151" s="67">
        <v>2.9750000000000001</v>
      </c>
      <c r="F151" s="66" t="str" cm="1">
        <f t="array" ref="F151">TRIM(_xlfn.TEXTJOIN(CHAR(9),TRUE,A151:B151, TEXT(ROUND(C151:E151,3),"0.000")))</f>
        <v>node	146	14.470	11.350	2.975</v>
      </c>
    </row>
    <row r="152" spans="1:6" x14ac:dyDescent="0.3">
      <c r="A152" s="66" t="s">
        <v>208</v>
      </c>
      <c r="B152" s="66">
        <v>147</v>
      </c>
      <c r="C152" s="67">
        <v>10.57</v>
      </c>
      <c r="D152" s="67">
        <v>11.35</v>
      </c>
      <c r="E152" s="67">
        <v>2.9750000000000001</v>
      </c>
      <c r="F152" s="66" t="str" cm="1">
        <f t="array" ref="F152">TRIM(_xlfn.TEXTJOIN(CHAR(9),TRUE,A152:B152, TEXT(ROUND(C152:E152,3),"0.000")))</f>
        <v>node	147	10.570	11.350	2.975</v>
      </c>
    </row>
    <row r="153" spans="1:6" x14ac:dyDescent="0.3">
      <c r="A153" s="66" t="s">
        <v>208</v>
      </c>
      <c r="B153" s="66">
        <v>148</v>
      </c>
      <c r="C153" s="67">
        <v>6.57</v>
      </c>
      <c r="D153" s="67">
        <v>11.35</v>
      </c>
      <c r="E153" s="67">
        <v>2.9750000000000001</v>
      </c>
      <c r="F153" s="66" t="str" cm="1">
        <f t="array" ref="F153">TRIM(_xlfn.TEXTJOIN(CHAR(9),TRUE,A153:B153, TEXT(ROUND(C153:E153,3),"0.000")))</f>
        <v>node	148	6.570	11.350	2.975</v>
      </c>
    </row>
    <row r="154" spans="1:6" x14ac:dyDescent="0.3">
      <c r="A154" s="66" t="s">
        <v>208</v>
      </c>
      <c r="B154" s="66">
        <v>149</v>
      </c>
      <c r="C154" s="67">
        <v>2.67</v>
      </c>
      <c r="D154" s="67">
        <v>11.35</v>
      </c>
      <c r="E154" s="67">
        <v>2.9750000000000001</v>
      </c>
      <c r="F154" s="66" t="str" cm="1">
        <f t="array" ref="F154">TRIM(_xlfn.TEXTJOIN(CHAR(9),TRUE,A154:B154, TEXT(ROUND(C154:E154,3),"0.000")))</f>
        <v>node	149	2.670	11.350	2.975</v>
      </c>
    </row>
    <row r="155" spans="1:6" x14ac:dyDescent="0.3">
      <c r="A155" s="66" t="s">
        <v>208</v>
      </c>
      <c r="B155" s="66">
        <v>150</v>
      </c>
      <c r="C155" s="67">
        <v>16.11</v>
      </c>
      <c r="D155" s="67">
        <v>11.35</v>
      </c>
      <c r="E155" s="67">
        <v>1.5</v>
      </c>
      <c r="F155" s="66" t="str" cm="1">
        <f t="array" ref="F155">TRIM(_xlfn.TEXTJOIN(CHAR(9),TRUE,A155:B155, TEXT(ROUND(C155:E155,3),"0.000")))</f>
        <v>node	150	16.110	11.350	1.500</v>
      </c>
    </row>
    <row r="156" spans="1:6" x14ac:dyDescent="0.3">
      <c r="A156" s="66" t="s">
        <v>208</v>
      </c>
      <c r="B156" s="66">
        <v>151</v>
      </c>
      <c r="C156" s="67">
        <v>12.52</v>
      </c>
      <c r="D156" s="67">
        <v>11.35</v>
      </c>
      <c r="E156" s="67">
        <v>1.5</v>
      </c>
      <c r="F156" s="66" t="str" cm="1">
        <f t="array" ref="F156">TRIM(_xlfn.TEXTJOIN(CHAR(9),TRUE,A156:B156, TEXT(ROUND(C156:E156,3),"0.000")))</f>
        <v>node	151	12.520	11.350	1.500</v>
      </c>
    </row>
    <row r="157" spans="1:6" x14ac:dyDescent="0.3">
      <c r="A157" s="66" t="s">
        <v>208</v>
      </c>
      <c r="B157" s="66">
        <v>152</v>
      </c>
      <c r="C157" s="67">
        <v>8.57</v>
      </c>
      <c r="D157" s="67">
        <v>11.35</v>
      </c>
      <c r="E157" s="67">
        <v>1.5</v>
      </c>
      <c r="F157" s="66" t="str" cm="1">
        <f t="array" ref="F157">TRIM(_xlfn.TEXTJOIN(CHAR(9),TRUE,A157:B157, TEXT(ROUND(C157:E157,3),"0.000")))</f>
        <v>node	152	8.570	11.350	1.500</v>
      </c>
    </row>
    <row r="158" spans="1:6" x14ac:dyDescent="0.3">
      <c r="A158" s="66" t="s">
        <v>208</v>
      </c>
      <c r="B158" s="66">
        <v>153</v>
      </c>
      <c r="C158" s="67">
        <v>4.62</v>
      </c>
      <c r="D158" s="67">
        <v>11.35</v>
      </c>
      <c r="E158" s="67">
        <v>1.5</v>
      </c>
      <c r="F158" s="66" t="str" cm="1">
        <f t="array" ref="F158">TRIM(_xlfn.TEXTJOIN(CHAR(9),TRUE,A158:B158, TEXT(ROUND(C158:E158,3),"0.000")))</f>
        <v>node	153	4.620	11.350	1.500</v>
      </c>
    </row>
    <row r="159" spans="1:6" x14ac:dyDescent="0.3">
      <c r="A159" s="66" t="s">
        <v>208</v>
      </c>
      <c r="B159" s="66">
        <v>154</v>
      </c>
      <c r="C159" s="67">
        <v>1.03</v>
      </c>
      <c r="D159" s="67">
        <v>11.35</v>
      </c>
      <c r="E159" s="67">
        <v>1.5</v>
      </c>
      <c r="F159" s="66" t="str" cm="1">
        <f t="array" ref="F159">TRIM(_xlfn.TEXTJOIN(CHAR(9),TRUE,A159:B159, TEXT(ROUND(C159:E159,3),"0.000")))</f>
        <v>node	154	1.030	11.350	1.500</v>
      </c>
    </row>
    <row r="160" spans="1:6" x14ac:dyDescent="0.3">
      <c r="A160" s="66" t="s">
        <v>208</v>
      </c>
      <c r="B160" s="66">
        <v>155</v>
      </c>
      <c r="C160" s="67">
        <v>14.47</v>
      </c>
      <c r="D160" s="67">
        <v>11.35</v>
      </c>
      <c r="E160" s="67">
        <v>0.4</v>
      </c>
      <c r="F160" s="66" t="str" cm="1">
        <f t="array" ref="F160">TRIM(_xlfn.TEXTJOIN(CHAR(9),TRUE,A160:B160, TEXT(ROUND(C160:E160,3),"0.000")))</f>
        <v>node	155	14.470	11.350	0.400</v>
      </c>
    </row>
    <row r="161" spans="1:6" x14ac:dyDescent="0.3">
      <c r="A161" s="66" t="s">
        <v>208</v>
      </c>
      <c r="B161" s="66">
        <v>156</v>
      </c>
      <c r="C161" s="67">
        <v>10.57</v>
      </c>
      <c r="D161" s="67">
        <v>11.35</v>
      </c>
      <c r="E161" s="67">
        <v>0.4</v>
      </c>
      <c r="F161" s="66" t="str" cm="1">
        <f t="array" ref="F161">TRIM(_xlfn.TEXTJOIN(CHAR(9),TRUE,A161:B161, TEXT(ROUND(C161:E161,3),"0.000")))</f>
        <v>node	156	10.570	11.350	0.400</v>
      </c>
    </row>
    <row r="162" spans="1:6" x14ac:dyDescent="0.3">
      <c r="A162" s="66" t="s">
        <v>208</v>
      </c>
      <c r="B162" s="66">
        <v>157</v>
      </c>
      <c r="C162" s="67">
        <v>6.57</v>
      </c>
      <c r="D162" s="67">
        <v>11.35</v>
      </c>
      <c r="E162" s="67">
        <v>0.4</v>
      </c>
      <c r="F162" s="66" t="str" cm="1">
        <f t="array" ref="F162">TRIM(_xlfn.TEXTJOIN(CHAR(9),TRUE,A162:B162, TEXT(ROUND(C162:E162,3),"0.000")))</f>
        <v>node	157	6.570	11.350	0.400</v>
      </c>
    </row>
    <row r="163" spans="1:6" x14ac:dyDescent="0.3">
      <c r="A163" s="66" t="s">
        <v>208</v>
      </c>
      <c r="B163" s="66">
        <v>158</v>
      </c>
      <c r="C163" s="67">
        <v>2.67</v>
      </c>
      <c r="D163" s="67">
        <v>11.35</v>
      </c>
      <c r="E163" s="67">
        <v>0.4</v>
      </c>
      <c r="F163" s="66" t="str" cm="1">
        <f t="array" ref="F163">TRIM(_xlfn.TEXTJOIN(CHAR(9),TRUE,A163:B163, TEXT(ROUND(C163:E163,3),"0.000")))</f>
        <v>node	158	2.670	11.350	0.400</v>
      </c>
    </row>
    <row r="164" spans="1:6" x14ac:dyDescent="0.3">
      <c r="A164" s="66" t="s">
        <v>208</v>
      </c>
      <c r="B164" s="66">
        <v>159</v>
      </c>
      <c r="C164" s="67">
        <v>0</v>
      </c>
      <c r="D164" s="67">
        <v>8.4700000000000006</v>
      </c>
      <c r="E164" s="67">
        <v>5.7750000000000004</v>
      </c>
      <c r="F164" s="66" t="str" cm="1">
        <f t="array" ref="F164">TRIM(_xlfn.TEXTJOIN(CHAR(9),TRUE,A164:B164, TEXT(ROUND(C164:E164,3),"0.000")))</f>
        <v>node	159	0.000	8.470	5.775</v>
      </c>
    </row>
    <row r="165" spans="1:6" x14ac:dyDescent="0.3">
      <c r="A165" s="66" t="s">
        <v>208</v>
      </c>
      <c r="B165" s="66">
        <v>160</v>
      </c>
      <c r="C165" s="67">
        <v>0</v>
      </c>
      <c r="D165" s="67">
        <v>2.87</v>
      </c>
      <c r="E165" s="67">
        <v>5.7750000000000004</v>
      </c>
      <c r="F165" s="66" t="str" cm="1">
        <f t="array" ref="F165">TRIM(_xlfn.TEXTJOIN(CHAR(9),TRUE,A165:B165, TEXT(ROUND(C165:E165,3),"0.000")))</f>
        <v>node	160	0.000	2.870	5.775</v>
      </c>
    </row>
    <row r="166" spans="1:6" x14ac:dyDescent="0.3">
      <c r="A166" s="66" t="s">
        <v>208</v>
      </c>
      <c r="B166" s="66">
        <v>161</v>
      </c>
      <c r="C166" s="67">
        <v>0</v>
      </c>
      <c r="D166" s="67">
        <v>10.210000000000001</v>
      </c>
      <c r="E166" s="67">
        <v>4.5999999999999996</v>
      </c>
      <c r="F166" s="66" t="str" cm="1">
        <f t="array" ref="F166">TRIM(_xlfn.TEXTJOIN(CHAR(9),TRUE,A166:B166, TEXT(ROUND(C166:E166,3),"0.000")))</f>
        <v>node	161	0.000	10.210	4.600</v>
      </c>
    </row>
    <row r="167" spans="1:6" x14ac:dyDescent="0.3">
      <c r="A167" s="66" t="s">
        <v>208</v>
      </c>
      <c r="B167" s="66">
        <v>162</v>
      </c>
      <c r="C167" s="67">
        <v>0</v>
      </c>
      <c r="D167" s="67">
        <v>5.67</v>
      </c>
      <c r="E167" s="67">
        <v>4.5999999999999996</v>
      </c>
      <c r="F167" s="66" t="str" cm="1">
        <f t="array" ref="F167">TRIM(_xlfn.TEXTJOIN(CHAR(9),TRUE,A167:B167, TEXT(ROUND(C167:E167,3),"0.000")))</f>
        <v>node	162	0.000	5.670	4.600</v>
      </c>
    </row>
    <row r="168" spans="1:6" x14ac:dyDescent="0.3">
      <c r="A168" s="66" t="s">
        <v>208</v>
      </c>
      <c r="B168" s="66">
        <v>163</v>
      </c>
      <c r="C168" s="67">
        <v>0</v>
      </c>
      <c r="D168" s="67">
        <v>1.1299999999999999</v>
      </c>
      <c r="E168" s="67">
        <v>4.5999999999999996</v>
      </c>
      <c r="F168" s="66" t="str" cm="1">
        <f t="array" ref="F168">TRIM(_xlfn.TEXTJOIN(CHAR(9),TRUE,A168:B168, TEXT(ROUND(C168:E168,3),"0.000")))</f>
        <v>node	163	0.000	1.130	4.600</v>
      </c>
    </row>
    <row r="169" spans="1:6" x14ac:dyDescent="0.3">
      <c r="A169" s="66" t="s">
        <v>208</v>
      </c>
      <c r="B169" s="66">
        <v>164</v>
      </c>
      <c r="C169" s="67">
        <v>0</v>
      </c>
      <c r="D169" s="67">
        <v>8.4700000000000006</v>
      </c>
      <c r="E169" s="67">
        <v>2.9750000000000001</v>
      </c>
      <c r="F169" s="66" t="str" cm="1">
        <f t="array" ref="F169">TRIM(_xlfn.TEXTJOIN(CHAR(9),TRUE,A169:B169, TEXT(ROUND(C169:E169,3),"0.000")))</f>
        <v>node	164	0.000	8.470	2.975</v>
      </c>
    </row>
    <row r="170" spans="1:6" x14ac:dyDescent="0.3">
      <c r="A170" s="66" t="s">
        <v>208</v>
      </c>
      <c r="B170" s="66">
        <v>165</v>
      </c>
      <c r="C170" s="67">
        <v>0</v>
      </c>
      <c r="D170" s="67">
        <v>2.87</v>
      </c>
      <c r="E170" s="67">
        <v>2.9750000000000001</v>
      </c>
      <c r="F170" s="66" t="str" cm="1">
        <f t="array" ref="F170">TRIM(_xlfn.TEXTJOIN(CHAR(9),TRUE,A170:B170, TEXT(ROUND(C170:E170,3),"0.000")))</f>
        <v>node	165	0.000	2.870	2.975</v>
      </c>
    </row>
    <row r="171" spans="1:6" x14ac:dyDescent="0.3">
      <c r="A171" s="66" t="s">
        <v>208</v>
      </c>
      <c r="B171" s="66">
        <v>166</v>
      </c>
      <c r="C171" s="67">
        <v>0</v>
      </c>
      <c r="D171" s="67">
        <v>10.210000000000001</v>
      </c>
      <c r="E171" s="67">
        <v>1.5</v>
      </c>
      <c r="F171" s="66" t="str" cm="1">
        <f t="array" ref="F171">TRIM(_xlfn.TEXTJOIN(CHAR(9),TRUE,A171:B171, TEXT(ROUND(C171:E171,3),"0.000")))</f>
        <v>node	166	0.000	10.210	1.500</v>
      </c>
    </row>
    <row r="172" spans="1:6" x14ac:dyDescent="0.3">
      <c r="A172" s="66" t="s">
        <v>208</v>
      </c>
      <c r="B172" s="66">
        <v>167</v>
      </c>
      <c r="C172" s="67">
        <v>0</v>
      </c>
      <c r="D172" s="67">
        <v>5.67</v>
      </c>
      <c r="E172" s="67">
        <v>1.5</v>
      </c>
      <c r="F172" s="66" t="str" cm="1">
        <f t="array" ref="F172">TRIM(_xlfn.TEXTJOIN(CHAR(9),TRUE,A172:B172, TEXT(ROUND(C172:E172,3),"0.000")))</f>
        <v>node	167	0.000	5.670	1.500</v>
      </c>
    </row>
    <row r="173" spans="1:6" x14ac:dyDescent="0.3">
      <c r="A173" s="66" t="s">
        <v>208</v>
      </c>
      <c r="B173" s="66">
        <v>168</v>
      </c>
      <c r="C173" s="67">
        <v>0</v>
      </c>
      <c r="D173" s="67">
        <v>1.1299999999999999</v>
      </c>
      <c r="E173" s="67">
        <v>1.5</v>
      </c>
      <c r="F173" s="66" t="str" cm="1">
        <f t="array" ref="F173">TRIM(_xlfn.TEXTJOIN(CHAR(9),TRUE,A173:B173, TEXT(ROUND(C173:E173,3),"0.000")))</f>
        <v>node	168	0.000	1.130	1.500</v>
      </c>
    </row>
    <row r="174" spans="1:6" x14ac:dyDescent="0.3">
      <c r="A174" s="66" t="s">
        <v>208</v>
      </c>
      <c r="B174" s="66">
        <v>169</v>
      </c>
      <c r="C174" s="67">
        <v>0</v>
      </c>
      <c r="D174" s="67">
        <v>8.4700000000000006</v>
      </c>
      <c r="E174" s="67">
        <v>0.4</v>
      </c>
      <c r="F174" s="66" t="str" cm="1">
        <f t="array" ref="F174">TRIM(_xlfn.TEXTJOIN(CHAR(9),TRUE,A174:B174, TEXT(ROUND(C174:E174,3),"0.000")))</f>
        <v>node	169	0.000	8.470	0.400</v>
      </c>
    </row>
    <row r="175" spans="1:6" x14ac:dyDescent="0.3">
      <c r="A175" s="66" t="s">
        <v>208</v>
      </c>
      <c r="B175" s="66">
        <v>170</v>
      </c>
      <c r="C175" s="67">
        <v>0</v>
      </c>
      <c r="D175" s="67">
        <v>2.87</v>
      </c>
      <c r="E175" s="67">
        <v>0.4</v>
      </c>
      <c r="F175" s="66" t="str" cm="1">
        <f t="array" ref="F175">TRIM(_xlfn.TEXTJOIN(CHAR(9),TRUE,A175:B175, TEXT(ROUND(C175:E175,3),"0.000")))</f>
        <v>node	170	0.000	2.870	0.400</v>
      </c>
    </row>
    <row r="176" spans="1:6" x14ac:dyDescent="0.3">
      <c r="A176" s="66" t="s">
        <v>208</v>
      </c>
      <c r="B176" s="66">
        <v>171</v>
      </c>
      <c r="C176" s="67">
        <v>3.3250000000000002</v>
      </c>
      <c r="D176" s="67">
        <v>5.73</v>
      </c>
      <c r="E176" s="67">
        <v>5.53</v>
      </c>
      <c r="F176" s="66" t="str" cm="1">
        <f t="array" ref="F176">TRIM(_xlfn.TEXTJOIN(CHAR(9),TRUE,A176:B176, TEXT(ROUND(C176:E176,3),"0.000")))</f>
        <v>node	171	3.325	5.730	5.530</v>
      </c>
    </row>
    <row r="177" spans="1:6" x14ac:dyDescent="0.3">
      <c r="A177" s="66" t="s">
        <v>208</v>
      </c>
      <c r="B177" s="66">
        <v>172</v>
      </c>
      <c r="C177" s="67">
        <v>10.83</v>
      </c>
      <c r="D177" s="67">
        <v>5.73</v>
      </c>
      <c r="E177" s="67">
        <v>5.53</v>
      </c>
      <c r="F177" s="66" t="str" cm="1">
        <f t="array" ref="F177">TRIM(_xlfn.TEXTJOIN(CHAR(9),TRUE,A177:B177, TEXT(ROUND(C177:E177,3),"0.000")))</f>
        <v>node	172	10.830	5.730	5.530</v>
      </c>
    </row>
    <row r="178" spans="1:6" x14ac:dyDescent="0.3">
      <c r="A178" s="66" t="s">
        <v>208</v>
      </c>
      <c r="B178" s="66">
        <v>173</v>
      </c>
      <c r="C178" s="67">
        <v>13.84</v>
      </c>
      <c r="D178" s="67">
        <v>5.73</v>
      </c>
      <c r="E178" s="67">
        <v>5.53</v>
      </c>
      <c r="F178" s="66" t="str" cm="1">
        <f t="array" ref="F178">TRIM(_xlfn.TEXTJOIN(CHAR(9),TRUE,A178:B178, TEXT(ROUND(C178:E178,3),"0.000")))</f>
        <v>node	173	13.840	5.730	5.530</v>
      </c>
    </row>
    <row r="179" spans="1:6" x14ac:dyDescent="0.3">
      <c r="A179" s="66" t="s">
        <v>208</v>
      </c>
      <c r="B179" s="66">
        <v>174</v>
      </c>
      <c r="C179" s="67">
        <v>1.4</v>
      </c>
      <c r="D179" s="67">
        <v>5.73</v>
      </c>
      <c r="E179" s="67">
        <v>3.95</v>
      </c>
      <c r="F179" s="66" t="str" cm="1">
        <f t="array" ref="F179">TRIM(_xlfn.TEXTJOIN(CHAR(9),TRUE,A179:B179, TEXT(ROUND(C179:E179,3),"0.000")))</f>
        <v>node	174	1.400	5.730	3.950</v>
      </c>
    </row>
    <row r="180" spans="1:6" x14ac:dyDescent="0.3">
      <c r="A180" s="66" t="s">
        <v>208</v>
      </c>
      <c r="B180" s="66">
        <v>175</v>
      </c>
      <c r="C180" s="67">
        <v>5.59</v>
      </c>
      <c r="D180" s="67">
        <v>5.73</v>
      </c>
      <c r="E180" s="67">
        <v>3.95</v>
      </c>
      <c r="F180" s="66" t="str" cm="1">
        <f t="array" ref="F180">TRIM(_xlfn.TEXTJOIN(CHAR(9),TRUE,A180:B180, TEXT(ROUND(C180:E180,3),"0.000")))</f>
        <v>node	175	5.590	5.730	3.950</v>
      </c>
    </row>
    <row r="181" spans="1:6" x14ac:dyDescent="0.3">
      <c r="A181" s="66" t="s">
        <v>208</v>
      </c>
      <c r="B181" s="66">
        <v>176</v>
      </c>
      <c r="C181" s="67">
        <v>8.66</v>
      </c>
      <c r="D181" s="67">
        <v>5.73</v>
      </c>
      <c r="E181" s="67">
        <v>3.95</v>
      </c>
      <c r="F181" s="66" t="str" cm="1">
        <f t="array" ref="F181">TRIM(_xlfn.TEXTJOIN(CHAR(9),TRUE,A181:B181, TEXT(ROUND(C181:E181,3),"0.000")))</f>
        <v>node	176	8.660	5.730	3.950</v>
      </c>
    </row>
    <row r="182" spans="1:6" x14ac:dyDescent="0.3">
      <c r="A182" s="66" t="s">
        <v>208</v>
      </c>
      <c r="B182" s="66">
        <v>177</v>
      </c>
      <c r="C182" s="67">
        <v>12.44</v>
      </c>
      <c r="D182" s="67">
        <v>5.73</v>
      </c>
      <c r="E182" s="67">
        <v>3.95</v>
      </c>
      <c r="F182" s="66" t="str" cm="1">
        <f t="array" ref="F182">TRIM(_xlfn.TEXTJOIN(CHAR(9),TRUE,A182:B182, TEXT(ROUND(C182:E182,3),"0.000")))</f>
        <v>node	177	12.440	5.730	3.950</v>
      </c>
    </row>
    <row r="183" spans="1:6" x14ac:dyDescent="0.3">
      <c r="A183" s="66" t="s">
        <v>208</v>
      </c>
      <c r="B183" s="66">
        <v>178</v>
      </c>
      <c r="C183" s="67">
        <v>15.81</v>
      </c>
      <c r="D183" s="67">
        <v>5.73</v>
      </c>
      <c r="E183" s="67">
        <v>3.95</v>
      </c>
      <c r="F183" s="66" t="str" cm="1">
        <f t="array" ref="F183">TRIM(_xlfn.TEXTJOIN(CHAR(9),TRUE,A183:B183, TEXT(ROUND(C183:E183,3),"0.000")))</f>
        <v>node	178	15.810	5.730	3.950</v>
      </c>
    </row>
    <row r="184" spans="1:6" x14ac:dyDescent="0.3">
      <c r="A184" s="66" t="s">
        <v>208</v>
      </c>
      <c r="B184" s="66">
        <v>179</v>
      </c>
      <c r="C184" s="67">
        <v>3.3250000000000002</v>
      </c>
      <c r="D184" s="67">
        <v>5.73</v>
      </c>
      <c r="E184" s="67">
        <v>2.48</v>
      </c>
      <c r="F184" s="66" t="str" cm="1">
        <f t="array" ref="F184">TRIM(_xlfn.TEXTJOIN(CHAR(9),TRUE,A184:B184, TEXT(ROUND(C184:E184,3),"0.000")))</f>
        <v>node	179	3.325	5.730	2.480</v>
      </c>
    </row>
    <row r="185" spans="1:6" x14ac:dyDescent="0.3">
      <c r="A185" s="66" t="s">
        <v>208</v>
      </c>
      <c r="B185" s="66">
        <v>180</v>
      </c>
      <c r="C185" s="67">
        <v>10.83</v>
      </c>
      <c r="D185" s="67">
        <v>5.73</v>
      </c>
      <c r="E185" s="67">
        <v>2.48</v>
      </c>
      <c r="F185" s="66" t="str" cm="1">
        <f t="array" ref="F185">TRIM(_xlfn.TEXTJOIN(CHAR(9),TRUE,A185:B185, TEXT(ROUND(C185:E185,3),"0.000")))</f>
        <v>node	180	10.830	5.730	2.480</v>
      </c>
    </row>
    <row r="186" spans="1:6" x14ac:dyDescent="0.3">
      <c r="A186" s="66" t="s">
        <v>208</v>
      </c>
      <c r="B186" s="66">
        <v>181</v>
      </c>
      <c r="C186" s="67">
        <v>13.84</v>
      </c>
      <c r="D186" s="67">
        <v>5.73</v>
      </c>
      <c r="E186" s="67">
        <v>2.48</v>
      </c>
      <c r="F186" s="66" t="str" cm="1">
        <f t="array" ref="F186">TRIM(_xlfn.TEXTJOIN(CHAR(9),TRUE,A186:B186, TEXT(ROUND(C186:E186,3),"0.000")))</f>
        <v>node	181	13.840	5.730	2.480</v>
      </c>
    </row>
    <row r="187" spans="1:6" x14ac:dyDescent="0.3">
      <c r="A187" s="66" t="s">
        <v>208</v>
      </c>
      <c r="B187" s="66">
        <v>182</v>
      </c>
      <c r="C187" s="67">
        <v>1.4</v>
      </c>
      <c r="D187" s="67">
        <v>5.73</v>
      </c>
      <c r="E187" s="67">
        <v>1</v>
      </c>
      <c r="F187" s="66" t="str" cm="1">
        <f t="array" ref="F187">TRIM(_xlfn.TEXTJOIN(CHAR(9),TRUE,A187:B187, TEXT(ROUND(C187:E187,3),"0.000")))</f>
        <v>node	182	1.400	5.730	1.000</v>
      </c>
    </row>
    <row r="188" spans="1:6" x14ac:dyDescent="0.3">
      <c r="A188" s="66" t="s">
        <v>208</v>
      </c>
      <c r="B188" s="66">
        <v>183</v>
      </c>
      <c r="C188" s="67">
        <v>5.59</v>
      </c>
      <c r="D188" s="67">
        <v>5.73</v>
      </c>
      <c r="E188" s="67">
        <v>1</v>
      </c>
      <c r="F188" s="66" t="str" cm="1">
        <f t="array" ref="F188">TRIM(_xlfn.TEXTJOIN(CHAR(9),TRUE,A188:B188, TEXT(ROUND(C188:E188,3),"0.000")))</f>
        <v>node	183	5.590	5.730	1.000</v>
      </c>
    </row>
    <row r="189" spans="1:6" x14ac:dyDescent="0.3">
      <c r="A189" s="66" t="s">
        <v>208</v>
      </c>
      <c r="B189" s="66">
        <v>184</v>
      </c>
      <c r="C189" s="67">
        <v>8.66</v>
      </c>
      <c r="D189" s="67">
        <v>5.73</v>
      </c>
      <c r="E189" s="67">
        <v>1</v>
      </c>
      <c r="F189" s="66" t="str" cm="1">
        <f t="array" ref="F189">TRIM(_xlfn.TEXTJOIN(CHAR(9),TRUE,A189:B189, TEXT(ROUND(C189:E189,3),"0.000")))</f>
        <v>node	184	8.660	5.730	1.000</v>
      </c>
    </row>
    <row r="190" spans="1:6" x14ac:dyDescent="0.3">
      <c r="A190" s="66" t="s">
        <v>208</v>
      </c>
      <c r="B190" s="66">
        <v>185</v>
      </c>
      <c r="C190" s="67">
        <v>12.44</v>
      </c>
      <c r="D190" s="67">
        <v>5.73</v>
      </c>
      <c r="E190" s="67">
        <v>1</v>
      </c>
      <c r="F190" s="66" t="str" cm="1">
        <f t="array" ref="F190">TRIM(_xlfn.TEXTJOIN(CHAR(9),TRUE,A190:B190, TEXT(ROUND(C190:E190,3),"0.000")))</f>
        <v>node	185	12.440	5.730	1.000</v>
      </c>
    </row>
    <row r="191" spans="1:6" x14ac:dyDescent="0.3">
      <c r="A191" s="66" t="s">
        <v>208</v>
      </c>
      <c r="B191" s="66">
        <v>186</v>
      </c>
      <c r="C191" s="67">
        <v>15.81</v>
      </c>
      <c r="D191" s="67">
        <v>5.73</v>
      </c>
      <c r="E191" s="67">
        <v>1</v>
      </c>
      <c r="F191" s="66" t="str" cm="1">
        <f t="array" ref="F191">TRIM(_xlfn.TEXTJOIN(CHAR(9),TRUE,A191:B191, TEXT(ROUND(C191:E191,3),"0.000")))</f>
        <v>node	186	15.810	5.730	1.000</v>
      </c>
    </row>
    <row r="192" spans="1:6" x14ac:dyDescent="0.3">
      <c r="A192" s="66" t="s">
        <v>208</v>
      </c>
      <c r="B192" s="66">
        <v>187</v>
      </c>
      <c r="C192" s="67">
        <v>5.18</v>
      </c>
      <c r="D192" s="67">
        <v>1.24</v>
      </c>
      <c r="E192" s="67">
        <v>5.53</v>
      </c>
      <c r="F192" s="66" t="str" cm="1">
        <f t="array" ref="F192">TRIM(_xlfn.TEXTJOIN(CHAR(9),TRUE,A192:B192, TEXT(ROUND(C192:E192,3),"0.000")))</f>
        <v>node	187	5.180	1.240	5.530</v>
      </c>
    </row>
    <row r="193" spans="1:6" x14ac:dyDescent="0.3">
      <c r="A193" s="66" t="s">
        <v>208</v>
      </c>
      <c r="B193" s="66">
        <v>188</v>
      </c>
      <c r="C193" s="67">
        <v>5.18</v>
      </c>
      <c r="D193" s="67">
        <v>8.43</v>
      </c>
      <c r="E193" s="67">
        <v>5.53</v>
      </c>
      <c r="F193" s="66" t="str" cm="1">
        <f t="array" ref="F193">TRIM(_xlfn.TEXTJOIN(CHAR(9),TRUE,A193:B193, TEXT(ROUND(C193:E193,3),"0.000")))</f>
        <v>node	188	5.180	8.430	5.530</v>
      </c>
    </row>
    <row r="194" spans="1:6" x14ac:dyDescent="0.3">
      <c r="A194" s="66" t="s">
        <v>208</v>
      </c>
      <c r="B194" s="66">
        <v>189</v>
      </c>
      <c r="C194" s="67">
        <v>5.18</v>
      </c>
      <c r="D194" s="67">
        <v>0.31</v>
      </c>
      <c r="E194" s="67">
        <v>3.95</v>
      </c>
      <c r="F194" s="66" t="str" cm="1">
        <f t="array" ref="F194">TRIM(_xlfn.TEXTJOIN(CHAR(9),TRUE,A194:B194, TEXT(ROUND(C194:E194,3),"0.000")))</f>
        <v>node	189	5.180	0.310	3.950</v>
      </c>
    </row>
    <row r="195" spans="1:6" x14ac:dyDescent="0.3">
      <c r="A195" s="66" t="s">
        <v>208</v>
      </c>
      <c r="B195" s="66">
        <v>190</v>
      </c>
      <c r="C195" s="67">
        <v>5.18</v>
      </c>
      <c r="D195" s="67">
        <v>4.8</v>
      </c>
      <c r="E195" s="67">
        <v>3.95</v>
      </c>
      <c r="F195" s="66" t="str" cm="1">
        <f t="array" ref="F195">TRIM(_xlfn.TEXTJOIN(CHAR(9),TRUE,A195:B195, TEXT(ROUND(C195:E195,3),"0.000")))</f>
        <v>node	190	5.180	4.800	3.950</v>
      </c>
    </row>
    <row r="196" spans="1:6" x14ac:dyDescent="0.3">
      <c r="A196" s="66" t="s">
        <v>208</v>
      </c>
      <c r="B196" s="66">
        <v>191</v>
      </c>
      <c r="C196" s="67">
        <v>5.18</v>
      </c>
      <c r="D196" s="67">
        <v>10.25</v>
      </c>
      <c r="E196" s="67">
        <v>3.95</v>
      </c>
      <c r="F196" s="66" t="str" cm="1">
        <f t="array" ref="F196">TRIM(_xlfn.TEXTJOIN(CHAR(9),TRUE,A196:B196, TEXT(ROUND(C196:E196,3),"0.000")))</f>
        <v>node	191	5.180	10.250	3.950</v>
      </c>
    </row>
    <row r="197" spans="1:6" x14ac:dyDescent="0.3">
      <c r="A197" s="66" t="s">
        <v>208</v>
      </c>
      <c r="B197" s="66">
        <v>192</v>
      </c>
      <c r="C197" s="67">
        <v>5.18</v>
      </c>
      <c r="D197" s="67">
        <v>1.24</v>
      </c>
      <c r="E197" s="67">
        <v>2.48</v>
      </c>
      <c r="F197" s="66" t="str" cm="1">
        <f t="array" ref="F197">TRIM(_xlfn.TEXTJOIN(CHAR(9),TRUE,A197:B197, TEXT(ROUND(C197:E197,3),"0.000")))</f>
        <v>node	192	5.180	1.240	2.480</v>
      </c>
    </row>
    <row r="198" spans="1:6" x14ac:dyDescent="0.3">
      <c r="A198" s="66" t="s">
        <v>208</v>
      </c>
      <c r="B198" s="66">
        <v>193</v>
      </c>
      <c r="C198" s="67">
        <v>5.18</v>
      </c>
      <c r="D198" s="67">
        <v>8.43</v>
      </c>
      <c r="E198" s="67">
        <v>2.48</v>
      </c>
      <c r="F198" s="66" t="str" cm="1">
        <f t="array" ref="F198">TRIM(_xlfn.TEXTJOIN(CHAR(9),TRUE,A198:B198, TEXT(ROUND(C198:E198,3),"0.000")))</f>
        <v>node	193	5.180	8.430	2.480</v>
      </c>
    </row>
    <row r="199" spans="1:6" x14ac:dyDescent="0.3">
      <c r="A199" s="66" t="s">
        <v>208</v>
      </c>
      <c r="B199" s="66">
        <v>194</v>
      </c>
      <c r="C199" s="67">
        <v>5.18</v>
      </c>
      <c r="D199" s="67">
        <v>0.31</v>
      </c>
      <c r="E199" s="67">
        <v>1</v>
      </c>
      <c r="F199" s="66" t="str" cm="1">
        <f t="array" ref="F199">TRIM(_xlfn.TEXTJOIN(CHAR(9),TRUE,A199:B199, TEXT(ROUND(C199:E199,3),"0.000")))</f>
        <v>node	194	5.180	0.310	1.000</v>
      </c>
    </row>
    <row r="200" spans="1:6" x14ac:dyDescent="0.3">
      <c r="A200" s="66" t="s">
        <v>208</v>
      </c>
      <c r="B200" s="66">
        <v>195</v>
      </c>
      <c r="C200" s="67">
        <v>5.18</v>
      </c>
      <c r="D200" s="67">
        <v>4.8</v>
      </c>
      <c r="E200" s="67">
        <v>1</v>
      </c>
      <c r="F200" s="66" t="str" cm="1">
        <f t="array" ref="F200">TRIM(_xlfn.TEXTJOIN(CHAR(9),TRUE,A200:B200, TEXT(ROUND(C200:E200,3),"0.000")))</f>
        <v>node	195	5.180	4.800	1.000</v>
      </c>
    </row>
    <row r="201" spans="1:6" x14ac:dyDescent="0.3">
      <c r="A201" s="66" t="s">
        <v>208</v>
      </c>
      <c r="B201" s="66">
        <v>196</v>
      </c>
      <c r="C201" s="67">
        <v>5.18</v>
      </c>
      <c r="D201" s="67">
        <v>10.25</v>
      </c>
      <c r="E201" s="67">
        <v>1</v>
      </c>
      <c r="F201" s="66" t="str" cm="1">
        <f t="array" ref="F201">TRIM(_xlfn.TEXTJOIN(CHAR(9),TRUE,A201:B201, TEXT(ROUND(C201:E201,3),"0.000")))</f>
        <v>node	196	5.180	10.250	1.000</v>
      </c>
    </row>
    <row r="202" spans="1:6" x14ac:dyDescent="0.3">
      <c r="A202" s="66" t="s">
        <v>208</v>
      </c>
      <c r="B202" s="66">
        <v>197</v>
      </c>
      <c r="C202" s="67">
        <v>11.98</v>
      </c>
      <c r="D202" s="67">
        <v>0.88</v>
      </c>
      <c r="E202" s="67">
        <v>5.53</v>
      </c>
      <c r="F202" s="66" t="str" cm="1">
        <f t="array" ref="F202">TRIM(_xlfn.TEXTJOIN(CHAR(9),TRUE,A202:B202, TEXT(ROUND(C202:E202,3),"0.000")))</f>
        <v>node	197	11.980	0.880	5.530</v>
      </c>
    </row>
    <row r="203" spans="1:6" x14ac:dyDescent="0.3">
      <c r="A203" s="66" t="s">
        <v>208</v>
      </c>
      <c r="B203" s="66">
        <v>198</v>
      </c>
      <c r="C203" s="67">
        <v>11.98</v>
      </c>
      <c r="D203" s="67">
        <v>3.16</v>
      </c>
      <c r="E203" s="67">
        <v>5.53</v>
      </c>
      <c r="F203" s="66" t="str" cm="1">
        <f t="array" ref="F203">TRIM(_xlfn.TEXTJOIN(CHAR(9),TRUE,A203:B203, TEXT(ROUND(C203:E203,3),"0.000")))</f>
        <v>node	198	11.980	3.160	5.530</v>
      </c>
    </row>
    <row r="204" spans="1:6" x14ac:dyDescent="0.3">
      <c r="A204" s="66" t="s">
        <v>208</v>
      </c>
      <c r="B204" s="66">
        <v>199</v>
      </c>
      <c r="C204" s="67">
        <v>11.98</v>
      </c>
      <c r="D204" s="67">
        <v>8.43</v>
      </c>
      <c r="E204" s="67">
        <v>5.53</v>
      </c>
      <c r="F204" s="66" t="str" cm="1">
        <f t="array" ref="F204">TRIM(_xlfn.TEXTJOIN(CHAR(9),TRUE,A204:B204, TEXT(ROUND(C204:E204,3),"0.000")))</f>
        <v>node	199	11.980	8.430	5.530</v>
      </c>
    </row>
    <row r="205" spans="1:6" x14ac:dyDescent="0.3">
      <c r="A205" s="66" t="s">
        <v>208</v>
      </c>
      <c r="B205" s="66">
        <v>200</v>
      </c>
      <c r="C205" s="67">
        <v>11.98</v>
      </c>
      <c r="D205" s="67">
        <v>0.22</v>
      </c>
      <c r="E205" s="67">
        <v>3.95</v>
      </c>
      <c r="F205" s="66" t="str" cm="1">
        <f t="array" ref="F205">TRIM(_xlfn.TEXTJOIN(CHAR(9),TRUE,A205:B205, TEXT(ROUND(C205:E205,3),"0.000")))</f>
        <v>node	200	11.980	0.220	3.950</v>
      </c>
    </row>
    <row r="206" spans="1:6" x14ac:dyDescent="0.3">
      <c r="A206" s="66" t="s">
        <v>208</v>
      </c>
      <c r="B206" s="66">
        <v>201</v>
      </c>
      <c r="C206" s="67">
        <v>11.98</v>
      </c>
      <c r="D206" s="67">
        <v>1.91</v>
      </c>
      <c r="E206" s="67">
        <v>3.95</v>
      </c>
      <c r="F206" s="66" t="str" cm="1">
        <f t="array" ref="F206">TRIM(_xlfn.TEXTJOIN(CHAR(9),TRUE,A206:B206, TEXT(ROUND(C206:E206,3),"0.000")))</f>
        <v>node	201	11.980	1.910	3.950</v>
      </c>
    </row>
    <row r="207" spans="1:6" x14ac:dyDescent="0.3">
      <c r="A207" s="66" t="s">
        <v>208</v>
      </c>
      <c r="B207" s="66">
        <v>202</v>
      </c>
      <c r="C207" s="67">
        <v>11.98</v>
      </c>
      <c r="D207" s="67">
        <v>5.78</v>
      </c>
      <c r="E207" s="67">
        <v>3.95</v>
      </c>
      <c r="F207" s="66" t="str" cm="1">
        <f t="array" ref="F207">TRIM(_xlfn.TEXTJOIN(CHAR(9),TRUE,A207:B207, TEXT(ROUND(C207:E207,3),"0.000")))</f>
        <v>node	202	11.980	5.780	3.950</v>
      </c>
    </row>
    <row r="208" spans="1:6" x14ac:dyDescent="0.3">
      <c r="A208" s="66" t="s">
        <v>208</v>
      </c>
      <c r="B208" s="66">
        <v>203</v>
      </c>
      <c r="C208" s="67">
        <v>11.98</v>
      </c>
      <c r="D208" s="67">
        <v>10.25</v>
      </c>
      <c r="E208" s="67">
        <v>3.95</v>
      </c>
      <c r="F208" s="66" t="str" cm="1">
        <f t="array" ref="F208">TRIM(_xlfn.TEXTJOIN(CHAR(9),TRUE,A208:B208, TEXT(ROUND(C208:E208,3),"0.000")))</f>
        <v>node	203	11.980	10.250	3.950</v>
      </c>
    </row>
    <row r="209" spans="1:6" x14ac:dyDescent="0.3">
      <c r="A209" s="66" t="s">
        <v>208</v>
      </c>
      <c r="B209" s="66">
        <v>204</v>
      </c>
      <c r="C209" s="67">
        <v>11.98</v>
      </c>
      <c r="D209" s="67">
        <v>0.88</v>
      </c>
      <c r="E209" s="67">
        <v>2.48</v>
      </c>
      <c r="F209" s="66" t="str" cm="1">
        <f t="array" ref="F209">TRIM(_xlfn.TEXTJOIN(CHAR(9),TRUE,A209:B209, TEXT(ROUND(C209:E209,3),"0.000")))</f>
        <v>node	204	11.980	0.880	2.480</v>
      </c>
    </row>
    <row r="210" spans="1:6" x14ac:dyDescent="0.3">
      <c r="A210" s="66" t="s">
        <v>208</v>
      </c>
      <c r="B210" s="66">
        <v>205</v>
      </c>
      <c r="C210" s="67">
        <v>11.98</v>
      </c>
      <c r="D210" s="67">
        <v>3.16</v>
      </c>
      <c r="E210" s="67">
        <v>2.48</v>
      </c>
      <c r="F210" s="66" t="str" cm="1">
        <f t="array" ref="F210">TRIM(_xlfn.TEXTJOIN(CHAR(9),TRUE,A210:B210, TEXT(ROUND(C210:E210,3),"0.000")))</f>
        <v>node	205	11.980	3.160	2.480</v>
      </c>
    </row>
    <row r="211" spans="1:6" x14ac:dyDescent="0.3">
      <c r="A211" s="66" t="s">
        <v>208</v>
      </c>
      <c r="B211" s="66">
        <v>206</v>
      </c>
      <c r="C211" s="67">
        <v>11.98</v>
      </c>
      <c r="D211" s="67">
        <v>8.43</v>
      </c>
      <c r="E211" s="67">
        <v>2.48</v>
      </c>
      <c r="F211" s="66" t="str" cm="1">
        <f t="array" ref="F211">TRIM(_xlfn.TEXTJOIN(CHAR(9),TRUE,A211:B211, TEXT(ROUND(C211:E211,3),"0.000")))</f>
        <v>node	206	11.980	8.430	2.480</v>
      </c>
    </row>
    <row r="212" spans="1:6" x14ac:dyDescent="0.3">
      <c r="A212" s="66" t="s">
        <v>208</v>
      </c>
      <c r="B212" s="66">
        <v>207</v>
      </c>
      <c r="C212" s="67">
        <v>11.98</v>
      </c>
      <c r="D212" s="67">
        <v>0.22</v>
      </c>
      <c r="E212" s="67">
        <v>1</v>
      </c>
      <c r="F212" s="66" t="str" cm="1">
        <f t="array" ref="F212">TRIM(_xlfn.TEXTJOIN(CHAR(9),TRUE,A212:B212, TEXT(ROUND(C212:E212,3),"0.000")))</f>
        <v>node	207	11.980	0.220	1.000</v>
      </c>
    </row>
    <row r="213" spans="1:6" x14ac:dyDescent="0.3">
      <c r="A213" s="66" t="s">
        <v>208</v>
      </c>
      <c r="B213" s="66">
        <v>208</v>
      </c>
      <c r="C213" s="67">
        <v>11.98</v>
      </c>
      <c r="D213" s="67">
        <v>1.91</v>
      </c>
      <c r="E213" s="67">
        <v>1</v>
      </c>
      <c r="F213" s="66" t="str" cm="1">
        <f t="array" ref="F213">TRIM(_xlfn.TEXTJOIN(CHAR(9),TRUE,A213:B213, TEXT(ROUND(C213:E213,3),"0.000")))</f>
        <v>node	208	11.980	1.910	1.000</v>
      </c>
    </row>
    <row r="214" spans="1:6" x14ac:dyDescent="0.3">
      <c r="A214" s="66" t="s">
        <v>208</v>
      </c>
      <c r="B214" s="66">
        <v>209</v>
      </c>
      <c r="C214" s="67">
        <v>11.98</v>
      </c>
      <c r="D214" s="67">
        <v>5.78</v>
      </c>
      <c r="E214" s="67">
        <v>1</v>
      </c>
      <c r="F214" s="66" t="str" cm="1">
        <f t="array" ref="F214">TRIM(_xlfn.TEXTJOIN(CHAR(9),TRUE,A214:B214, TEXT(ROUND(C214:E214,3),"0.000")))</f>
        <v>node	209	11.980	5.780	1.000</v>
      </c>
    </row>
    <row r="215" spans="1:6" x14ac:dyDescent="0.3">
      <c r="A215" s="66" t="s">
        <v>208</v>
      </c>
      <c r="B215" s="66">
        <v>210</v>
      </c>
      <c r="C215" s="67">
        <v>11.98</v>
      </c>
      <c r="D215" s="67">
        <v>10.25</v>
      </c>
      <c r="E215" s="67">
        <v>1</v>
      </c>
      <c r="F215" s="66" t="str" cm="1">
        <f t="array" ref="F215">TRIM(_xlfn.TEXTJOIN(CHAR(9),TRUE,A215:B215, TEXT(ROUND(C215:E215,3),"0.000")))</f>
        <v>node	210	11.980	10.250	1.000</v>
      </c>
    </row>
    <row r="216" spans="1:6" x14ac:dyDescent="0.3">
      <c r="A216" s="66" t="s">
        <v>208</v>
      </c>
      <c r="B216" s="66">
        <v>211</v>
      </c>
      <c r="C216" s="67">
        <v>13.18</v>
      </c>
      <c r="D216" s="67">
        <v>1.53</v>
      </c>
      <c r="E216" s="67">
        <v>5.53</v>
      </c>
      <c r="F216" s="66" t="str" cm="1">
        <f t="array" ref="F216">TRIM(_xlfn.TEXTJOIN(CHAR(9),TRUE,A216:B216, TEXT(ROUND(C216:E216,3),"0.000")))</f>
        <v>node	211	13.180	1.530	5.530</v>
      </c>
    </row>
    <row r="217" spans="1:6" x14ac:dyDescent="0.3">
      <c r="A217" s="66" t="s">
        <v>208</v>
      </c>
      <c r="B217" s="66">
        <v>212</v>
      </c>
      <c r="C217" s="67">
        <v>12.33</v>
      </c>
      <c r="D217" s="67">
        <v>1.53</v>
      </c>
      <c r="E217" s="67">
        <v>3.95</v>
      </c>
      <c r="F217" s="66" t="str" cm="1">
        <f t="array" ref="F217">TRIM(_xlfn.TEXTJOIN(CHAR(9),TRUE,A217:B217, TEXT(ROUND(C217:E217,3),"0.000")))</f>
        <v>node	212	12.330	1.530	3.950</v>
      </c>
    </row>
    <row r="218" spans="1:6" x14ac:dyDescent="0.3">
      <c r="A218" s="66" t="s">
        <v>208</v>
      </c>
      <c r="B218" s="66">
        <v>213</v>
      </c>
      <c r="C218" s="67">
        <v>15.42</v>
      </c>
      <c r="D218" s="67">
        <v>1.53</v>
      </c>
      <c r="E218" s="67">
        <v>3.95</v>
      </c>
      <c r="F218" s="66" t="str" cm="1">
        <f t="array" ref="F218">TRIM(_xlfn.TEXTJOIN(CHAR(9),TRUE,A218:B218, TEXT(ROUND(C218:E218,3),"0.000")))</f>
        <v>node	213	15.420	1.530	3.950</v>
      </c>
    </row>
    <row r="219" spans="1:6" x14ac:dyDescent="0.3">
      <c r="A219" s="66" t="s">
        <v>208</v>
      </c>
      <c r="B219" s="66">
        <v>214</v>
      </c>
      <c r="C219" s="67">
        <v>13.18</v>
      </c>
      <c r="D219" s="67">
        <v>1.53</v>
      </c>
      <c r="E219" s="67">
        <v>2.48</v>
      </c>
      <c r="F219" s="66" t="str" cm="1">
        <f t="array" ref="F219">TRIM(_xlfn.TEXTJOIN(CHAR(9),TRUE,A219:B219, TEXT(ROUND(C219:E219,3),"0.000")))</f>
        <v>node	214	13.180	1.530	2.480</v>
      </c>
    </row>
    <row r="220" spans="1:6" x14ac:dyDescent="0.3">
      <c r="A220" s="66" t="s">
        <v>208</v>
      </c>
      <c r="B220" s="66">
        <v>215</v>
      </c>
      <c r="C220" s="67">
        <v>12.33</v>
      </c>
      <c r="D220" s="67">
        <v>1.53</v>
      </c>
      <c r="E220" s="67">
        <v>1</v>
      </c>
      <c r="F220" s="66" t="str" cm="1">
        <f t="array" ref="F220">TRIM(_xlfn.TEXTJOIN(CHAR(9),TRUE,A220:B220, TEXT(ROUND(C220:E220,3),"0.000")))</f>
        <v>node	215	12.330	1.530	1.000</v>
      </c>
    </row>
    <row r="221" spans="1:6" x14ac:dyDescent="0.3">
      <c r="A221" s="66" t="s">
        <v>208</v>
      </c>
      <c r="B221" s="66">
        <v>216</v>
      </c>
      <c r="C221" s="67">
        <v>15.42</v>
      </c>
      <c r="D221" s="67">
        <v>1.53</v>
      </c>
      <c r="E221" s="67">
        <v>1</v>
      </c>
      <c r="F221" s="66" t="str" cm="1">
        <f t="array" ref="F221">TRIM(_xlfn.TEXTJOIN(CHAR(9),TRUE,A221:B221, TEXT(ROUND(C221:E221,3),"0.000")))</f>
        <v>node	216	15.420	1.530	1.000</v>
      </c>
    </row>
    <row r="222" spans="1:6" x14ac:dyDescent="0.3">
      <c r="A222" s="66" t="s">
        <v>208</v>
      </c>
      <c r="B222" s="66">
        <v>217</v>
      </c>
      <c r="C222" s="67">
        <v>7.31</v>
      </c>
      <c r="D222" s="67">
        <v>2.93</v>
      </c>
      <c r="E222" s="67">
        <v>4.4000000000000004</v>
      </c>
      <c r="F222" s="66" t="str" cm="1">
        <f t="array" ref="F222">TRIM(_xlfn.TEXTJOIN(CHAR(9),TRUE,A222:B222, TEXT(ROUND(C222:E222,3),"0.000")))</f>
        <v>node	217	7.310	2.930	4.400</v>
      </c>
    </row>
    <row r="223" spans="1:6" x14ac:dyDescent="0.3">
      <c r="A223" s="66" t="s">
        <v>208</v>
      </c>
      <c r="B223" s="66">
        <v>218</v>
      </c>
      <c r="C223" s="67">
        <v>7.31</v>
      </c>
      <c r="D223" s="67">
        <v>2.93</v>
      </c>
      <c r="E223" s="67">
        <v>1.35</v>
      </c>
      <c r="F223" s="66" t="str" cm="1">
        <f t="array" ref="F223">TRIM(_xlfn.TEXTJOIN(CHAR(9),TRUE,A223:B223, TEXT(ROUND(C223:E223,3),"0.000")))</f>
        <v>node	218	7.310	2.930	1.350</v>
      </c>
    </row>
    <row r="224" spans="1:6" x14ac:dyDescent="0.3">
      <c r="A224" s="66" t="s">
        <v>208</v>
      </c>
      <c r="B224" s="66">
        <v>219</v>
      </c>
      <c r="C224" s="67">
        <v>9.48</v>
      </c>
      <c r="D224" s="67">
        <v>3.8050000000000002</v>
      </c>
      <c r="E224" s="67">
        <v>4.4000000000000004</v>
      </c>
      <c r="F224" s="66" t="str" cm="1">
        <f t="array" ref="F224">TRIM(_xlfn.TEXTJOIN(CHAR(9),TRUE,A224:B224, TEXT(ROUND(C224:E224,3),"0.000")))</f>
        <v>node	219	9.480	3.805	4.400</v>
      </c>
    </row>
    <row r="225" spans="1:9" x14ac:dyDescent="0.3">
      <c r="A225" s="66" t="s">
        <v>208</v>
      </c>
      <c r="B225" s="66">
        <v>220</v>
      </c>
      <c r="C225" s="67">
        <v>9.48</v>
      </c>
      <c r="D225" s="67">
        <v>3.8050000000000002</v>
      </c>
      <c r="E225" s="67">
        <v>1.35</v>
      </c>
      <c r="F225" s="66" t="str" cm="1">
        <f t="array" ref="F225">TRIM(_xlfn.TEXTJOIN(CHAR(9),TRUE,A225:B225, TEXT(ROUND(C225:E225,3),"0.000")))</f>
        <v>node	220	9.480	3.805	1.350</v>
      </c>
    </row>
    <row r="226" spans="1:9" x14ac:dyDescent="0.3">
      <c r="B226" s="29"/>
      <c r="C226" s="1"/>
      <c r="D226" s="1"/>
      <c r="E226" s="1"/>
    </row>
    <row r="227" spans="1:9" x14ac:dyDescent="0.3">
      <c r="A227" t="s">
        <v>0</v>
      </c>
      <c r="B227" s="29"/>
      <c r="C227" s="1"/>
      <c r="D227" s="1"/>
      <c r="E227" s="1"/>
      <c r="F227" t="str">
        <f>TRIM(_xlfn.TEXTJOIN(CHAR(9),TRUE,A227:B227))</f>
        <v>#Fictitious nodes floor 1</v>
      </c>
    </row>
    <row r="228" spans="1:9" x14ac:dyDescent="0.3">
      <c r="A228" s="66" t="s">
        <v>208</v>
      </c>
      <c r="B228" s="68">
        <v>301</v>
      </c>
      <c r="C228" s="67">
        <v>7.31</v>
      </c>
      <c r="D228" s="67">
        <v>5.73</v>
      </c>
      <c r="E228" s="67">
        <v>2.7</v>
      </c>
      <c r="F228" s="66" t="str" cm="1">
        <f t="array" ref="F228">TRIM(_xlfn.TEXTJOIN(CHAR(9),TRUE,A228:B228, TEXT(ROUND(C228:E228,3),"0.000")))</f>
        <v>node	301	7.310	5.730	2.700</v>
      </c>
      <c r="I228" s="29"/>
    </row>
    <row r="229" spans="1:9" x14ac:dyDescent="0.3">
      <c r="A229" s="66" t="s">
        <v>208</v>
      </c>
      <c r="B229" s="68">
        <v>302</v>
      </c>
      <c r="C229" s="67">
        <v>5.18</v>
      </c>
      <c r="D229" s="67">
        <v>3.98</v>
      </c>
      <c r="E229" s="67">
        <v>2.7</v>
      </c>
      <c r="F229" s="66" t="str" cm="1">
        <f t="array" ref="F229">TRIM(_xlfn.TEXTJOIN(CHAR(9),TRUE,A229:B229, TEXT(ROUND(C229:E229,3),"0.000")))</f>
        <v>node	302	5.180	3.980	2.700</v>
      </c>
      <c r="I229" s="29"/>
    </row>
    <row r="230" spans="1:9" x14ac:dyDescent="0.3">
      <c r="A230" s="66" t="s">
        <v>208</v>
      </c>
      <c r="B230" s="68">
        <v>303</v>
      </c>
      <c r="C230" s="67">
        <v>9.48</v>
      </c>
      <c r="D230" s="67">
        <v>3.98</v>
      </c>
      <c r="E230" s="67">
        <v>2.7</v>
      </c>
      <c r="F230" s="66" t="str" cm="1">
        <f t="array" ref="F230">TRIM(_xlfn.TEXTJOIN(CHAR(9),TRUE,A230:B230, TEXT(ROUND(C230:E230,3),"0.000")))</f>
        <v>node	303	9.480	3.980	2.700</v>
      </c>
      <c r="I230" s="29"/>
    </row>
    <row r="231" spans="1:9" x14ac:dyDescent="0.3">
      <c r="A231" s="66" t="s">
        <v>208</v>
      </c>
      <c r="B231" s="68">
        <v>304</v>
      </c>
      <c r="C231" s="67">
        <v>11.98</v>
      </c>
      <c r="D231" s="67">
        <v>3.98</v>
      </c>
      <c r="E231" s="67">
        <v>2.7</v>
      </c>
      <c r="F231" s="66" t="str" cm="1">
        <f t="array" ref="F231">TRIM(_xlfn.TEXTJOIN(CHAR(9),TRUE,A231:B231, TEXT(ROUND(C231:E231,3),"0.000")))</f>
        <v>node	304	11.980	3.980	2.700</v>
      </c>
      <c r="I231" s="29"/>
    </row>
    <row r="232" spans="1:9" x14ac:dyDescent="0.3">
      <c r="A232" s="66" t="s">
        <v>208</v>
      </c>
      <c r="B232" s="68">
        <v>305</v>
      </c>
      <c r="C232" s="67">
        <v>5.18</v>
      </c>
      <c r="D232" s="67">
        <v>1.88</v>
      </c>
      <c r="E232" s="67">
        <v>2.7</v>
      </c>
      <c r="F232" s="66" t="str" cm="1">
        <f t="array" ref="F232">TRIM(_xlfn.TEXTJOIN(CHAR(9),TRUE,A232:B232, TEXT(ROUND(C232:E232,3),"0.000")))</f>
        <v>node	305	5.180	1.880	2.700</v>
      </c>
      <c r="I232" s="29"/>
    </row>
    <row r="233" spans="1:9" x14ac:dyDescent="0.3">
      <c r="A233" s="66" t="s">
        <v>208</v>
      </c>
      <c r="B233" s="68">
        <v>306</v>
      </c>
      <c r="C233" s="67">
        <v>7.31</v>
      </c>
      <c r="D233" s="67">
        <v>1.88</v>
      </c>
      <c r="E233" s="67">
        <v>2.7</v>
      </c>
      <c r="F233" s="66" t="str" cm="1">
        <f t="array" ref="F233">TRIM(_xlfn.TEXTJOIN(CHAR(9),TRUE,A233:B233, TEXT(ROUND(C233:E233,3),"0.000")))</f>
        <v>node	306	7.310	1.880	2.700</v>
      </c>
      <c r="I233" s="29"/>
    </row>
    <row r="234" spans="1:9" x14ac:dyDescent="0.3">
      <c r="A234" s="66" t="s">
        <v>208</v>
      </c>
      <c r="B234" s="68">
        <v>307</v>
      </c>
      <c r="C234" s="67">
        <v>9.48</v>
      </c>
      <c r="D234" s="67">
        <v>1.88</v>
      </c>
      <c r="E234" s="67">
        <v>2.7</v>
      </c>
      <c r="F234" s="66" t="str" cm="1">
        <f t="array" ref="F234">TRIM(_xlfn.TEXTJOIN(CHAR(9),TRUE,A234:B234, TEXT(ROUND(C234:E234,3),"0.000")))</f>
        <v>node	307	9.480	1.880	2.700</v>
      </c>
      <c r="I234" s="29"/>
    </row>
    <row r="235" spans="1:9" x14ac:dyDescent="0.3">
      <c r="A235" s="66" t="s">
        <v>208</v>
      </c>
      <c r="B235" s="68">
        <v>308</v>
      </c>
      <c r="C235" s="67">
        <v>7.31</v>
      </c>
      <c r="D235" s="67">
        <v>0</v>
      </c>
      <c r="E235" s="67">
        <v>2.7</v>
      </c>
      <c r="F235" s="66" t="str" cm="1">
        <f t="array" ref="F235">TRIM(_xlfn.TEXTJOIN(CHAR(9),TRUE,A235:B235, TEXT(ROUND(C235:E235,3),"0.000")))</f>
        <v>node	308	7.310	0.000	2.700</v>
      </c>
      <c r="I235" s="29"/>
    </row>
    <row r="236" spans="1:9" x14ac:dyDescent="0.3">
      <c r="A236" s="66" t="s">
        <v>208</v>
      </c>
      <c r="B236" s="68">
        <v>309</v>
      </c>
      <c r="C236" s="67">
        <v>9.48</v>
      </c>
      <c r="D236" s="67">
        <v>0</v>
      </c>
      <c r="E236" s="67">
        <v>2.7</v>
      </c>
      <c r="F236" s="66" t="str" cm="1">
        <f t="array" ref="F236">TRIM(_xlfn.TEXTJOIN(CHAR(9),TRUE,A236:B236, TEXT(ROUND(C236:E236,3),"0.000")))</f>
        <v>node	309	9.480	0.000	2.700</v>
      </c>
      <c r="I236" s="29"/>
    </row>
    <row r="237" spans="1:9" x14ac:dyDescent="0.3">
      <c r="B237" s="29"/>
      <c r="C237" s="1"/>
      <c r="D237" s="1"/>
      <c r="E237" s="1"/>
      <c r="I237" s="29"/>
    </row>
    <row r="238" spans="1:9" x14ac:dyDescent="0.3">
      <c r="A238" t="s">
        <v>1</v>
      </c>
      <c r="B238" s="29"/>
      <c r="C238" s="1"/>
      <c r="D238" s="1"/>
      <c r="E238" s="1"/>
      <c r="F238" t="str">
        <f>TRIM(_xlfn.TEXTJOIN(CHAR(9),TRUE,A238:B238))</f>
        <v># Fictitious nodes floor 2</v>
      </c>
      <c r="I238" s="29"/>
    </row>
    <row r="239" spans="1:9" x14ac:dyDescent="0.3">
      <c r="A239" s="66" t="s">
        <v>208</v>
      </c>
      <c r="B239" s="66">
        <v>310</v>
      </c>
      <c r="C239" s="67">
        <v>7.31</v>
      </c>
      <c r="D239" s="67">
        <v>5.73</v>
      </c>
      <c r="E239" s="67">
        <v>6.1</v>
      </c>
      <c r="F239" s="66" t="str" cm="1">
        <f t="array" ref="F239">TRIM(_xlfn.TEXTJOIN(CHAR(9),TRUE,A239:B239, TEXT(ROUND(C239:E239,3),"0.000")))</f>
        <v>node	310	7.310	5.730	6.100</v>
      </c>
      <c r="I239" s="29"/>
    </row>
    <row r="240" spans="1:9" x14ac:dyDescent="0.3">
      <c r="A240" s="66" t="s">
        <v>208</v>
      </c>
      <c r="B240" s="66">
        <v>311</v>
      </c>
      <c r="C240" s="67">
        <v>9.48</v>
      </c>
      <c r="D240" s="67">
        <v>3.98</v>
      </c>
      <c r="E240" s="67">
        <v>6.1</v>
      </c>
      <c r="F240" s="66" t="str" cm="1">
        <f t="array" ref="F240">TRIM(_xlfn.TEXTJOIN(CHAR(9),TRUE,A240:B240, TEXT(ROUND(C240:E240,3),"0.000")))</f>
        <v>node	311	9.480	3.980	6.100</v>
      </c>
      <c r="I240" s="29"/>
    </row>
    <row r="241" spans="1:9" x14ac:dyDescent="0.3">
      <c r="A241" s="66" t="s">
        <v>208</v>
      </c>
      <c r="B241" s="66">
        <v>312</v>
      </c>
      <c r="C241" s="67">
        <v>5.18</v>
      </c>
      <c r="D241" s="67">
        <v>1.88</v>
      </c>
      <c r="E241" s="67">
        <v>6.1</v>
      </c>
      <c r="F241" s="66" t="str" cm="1">
        <f t="array" ref="F241">TRIM(_xlfn.TEXTJOIN(CHAR(9),TRUE,A241:B241, TEXT(ROUND(C241:E241,3),"0.000")))</f>
        <v>node	312	5.180	1.880	6.100</v>
      </c>
      <c r="I241" s="29"/>
    </row>
    <row r="242" spans="1:9" x14ac:dyDescent="0.3">
      <c r="A242" s="66" t="s">
        <v>208</v>
      </c>
      <c r="B242" s="66">
        <v>313</v>
      </c>
      <c r="C242" s="67">
        <v>7.31</v>
      </c>
      <c r="D242" s="67">
        <v>1.88</v>
      </c>
      <c r="E242" s="67">
        <v>6.1</v>
      </c>
      <c r="F242" s="66" t="str" cm="1">
        <f t="array" ref="F242">TRIM(_xlfn.TEXTJOIN(CHAR(9),TRUE,A242:B242, TEXT(ROUND(C242:E242,3),"0.000")))</f>
        <v>node	313	7.310	1.880	6.100</v>
      </c>
      <c r="I242" s="29"/>
    </row>
    <row r="243" spans="1:9" x14ac:dyDescent="0.3">
      <c r="A243" s="66" t="s">
        <v>208</v>
      </c>
      <c r="B243" s="66">
        <v>314</v>
      </c>
      <c r="C243" s="67">
        <v>9.48</v>
      </c>
      <c r="D243" s="67">
        <v>1.88</v>
      </c>
      <c r="E243" s="67">
        <v>6.1</v>
      </c>
      <c r="F243" s="66" t="str" cm="1">
        <f t="array" ref="F243">TRIM(_xlfn.TEXTJOIN(CHAR(9),TRUE,A243:B243, TEXT(ROUND(C243:E243,3),"0.000")))</f>
        <v>node	314	9.480	1.880	6.100</v>
      </c>
      <c r="I243" s="29"/>
    </row>
    <row r="244" spans="1:9" x14ac:dyDescent="0.3">
      <c r="A244" s="66" t="s">
        <v>208</v>
      </c>
      <c r="B244" s="66">
        <v>315</v>
      </c>
      <c r="C244" s="67">
        <v>9.48</v>
      </c>
      <c r="D244" s="67">
        <v>0</v>
      </c>
      <c r="E244" s="67">
        <v>6.1</v>
      </c>
      <c r="F244" s="66" t="str" cm="1">
        <f t="array" ref="F244">TRIM(_xlfn.TEXTJOIN(CHAR(9),TRUE,A244:B244, TEXT(ROUND(C244:E244,3),"0.000")))</f>
        <v>node	315	9.480	0.000	6.100</v>
      </c>
      <c r="I244" s="29"/>
    </row>
  </sheetData>
  <mergeCells count="1">
    <mergeCell ref="B3:D3"/>
  </mergeCells>
  <phoneticPr fontId="1" type="noConversion"/>
  <pageMargins left="0.7" right="0.7" top="0.78740157499999996" bottom="0.78740157499999996" header="0.3" footer="0.3"/>
  <pageSetup paperSize="9" orientation="portrait" r:id="rId1"/>
  <headerFooter>
    <oddHeader>&amp;LMaster Thesis 2023/2024
&amp;CSt. Lawrence Parish House,
Petrinja, Croatia&amp;R&amp;G</oddHeader>
    <oddFooter>&amp;L&amp;A&amp;CModel: Initial state&amp;R&amp;P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AT161"/>
  <sheetViews>
    <sheetView view="pageLayout" zoomScale="25" zoomScaleNormal="85" zoomScalePageLayoutView="25" workbookViewId="0">
      <selection activeCell="AI3" sqref="AI3"/>
    </sheetView>
  </sheetViews>
  <sheetFormatPr baseColWidth="10" defaultColWidth="14.5" defaultRowHeight="14" x14ac:dyDescent="0.3"/>
  <cols>
    <col min="2" max="2" width="22.08203125" bestFit="1" customWidth="1"/>
    <col min="3" max="8" width="6.6640625" style="25" customWidth="1"/>
    <col min="9" max="12" width="6.6640625" customWidth="1"/>
    <col min="13" max="13" width="8.58203125" bestFit="1" customWidth="1"/>
    <col min="14" max="16" width="5.6640625" bestFit="1" customWidth="1"/>
    <col min="17" max="17" width="9.9140625" bestFit="1" customWidth="1"/>
    <col min="18" max="18" width="4.4140625" bestFit="1" customWidth="1"/>
    <col min="19" max="19" width="3.5" bestFit="1" customWidth="1"/>
    <col min="20" max="20" width="5.5" bestFit="1" customWidth="1"/>
    <col min="21" max="21" width="5" bestFit="1" customWidth="1"/>
    <col min="22" max="22" width="4.4140625" bestFit="1" customWidth="1"/>
    <col min="23" max="23" width="9.1640625" bestFit="1" customWidth="1"/>
    <col min="24" max="24" width="5.83203125" bestFit="1" customWidth="1"/>
    <col min="25" max="25" width="7.33203125" bestFit="1" customWidth="1"/>
    <col min="26" max="26" width="4.58203125" bestFit="1" customWidth="1"/>
    <col min="27" max="27" width="6.83203125" bestFit="1" customWidth="1"/>
    <col min="29" max="29" width="5.83203125" bestFit="1" customWidth="1"/>
    <col min="30" max="30" width="6.33203125" bestFit="1" customWidth="1"/>
    <col min="31" max="31" width="3.5" bestFit="1" customWidth="1"/>
    <col min="32" max="32" width="5.75" bestFit="1" customWidth="1"/>
    <col min="33" max="33" width="6.25" bestFit="1" customWidth="1"/>
    <col min="34" max="34" width="3.5" bestFit="1" customWidth="1"/>
    <col min="35" max="35" width="254.33203125" bestFit="1" customWidth="1"/>
    <col min="46" max="46" width="0" hidden="1" customWidth="1"/>
  </cols>
  <sheetData>
    <row r="1" spans="1:46" ht="17" thickBot="1" x14ac:dyDescent="0.4">
      <c r="A1" s="60" t="s">
        <v>380</v>
      </c>
      <c r="B1" s="58"/>
      <c r="C1" s="59"/>
      <c r="D1" s="59"/>
      <c r="E1" s="59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</row>
    <row r="2" spans="1:46" ht="14.5" thickTop="1" x14ac:dyDescent="0.3">
      <c r="A2" s="61" t="s">
        <v>378</v>
      </c>
      <c r="B2" t="s">
        <v>379</v>
      </c>
      <c r="F2"/>
      <c r="G2"/>
      <c r="H2"/>
    </row>
    <row r="3" spans="1:46" x14ac:dyDescent="0.3">
      <c r="A3" s="61" t="s">
        <v>375</v>
      </c>
      <c r="B3" s="140">
        <f ca="1">TODAY()</f>
        <v>45304</v>
      </c>
      <c r="C3" s="140"/>
      <c r="D3" s="140"/>
      <c r="F3"/>
      <c r="G3"/>
      <c r="H3"/>
    </row>
    <row r="4" spans="1:46" x14ac:dyDescent="0.3">
      <c r="A4" s="61" t="s">
        <v>376</v>
      </c>
      <c r="B4" t="s">
        <v>381</v>
      </c>
      <c r="F4"/>
      <c r="G4"/>
      <c r="H4"/>
    </row>
    <row r="5" spans="1:46" x14ac:dyDescent="0.3">
      <c r="A5" s="61" t="s">
        <v>377</v>
      </c>
      <c r="B5" t="s">
        <v>177</v>
      </c>
      <c r="F5"/>
      <c r="G5"/>
      <c r="H5"/>
    </row>
    <row r="6" spans="1:46" x14ac:dyDescent="0.3">
      <c r="F6"/>
      <c r="G6"/>
      <c r="H6"/>
    </row>
    <row r="7" spans="1:46" s="61" customFormat="1" x14ac:dyDescent="0.3">
      <c r="A7" s="61" t="s">
        <v>25</v>
      </c>
      <c r="B7" s="61" t="s">
        <v>48</v>
      </c>
      <c r="C7" s="62" t="s">
        <v>26</v>
      </c>
      <c r="D7" s="61" t="s">
        <v>27</v>
      </c>
      <c r="E7" s="61" t="s">
        <v>28</v>
      </c>
      <c r="F7" s="61" t="s">
        <v>29</v>
      </c>
      <c r="G7" s="61" t="s">
        <v>30</v>
      </c>
      <c r="H7" s="61" t="s">
        <v>31</v>
      </c>
      <c r="I7" s="61" t="s">
        <v>32</v>
      </c>
      <c r="J7" s="61" t="s">
        <v>33</v>
      </c>
      <c r="K7" s="61" t="s">
        <v>34</v>
      </c>
      <c r="L7" s="61" t="s">
        <v>35</v>
      </c>
      <c r="M7" s="61" t="s">
        <v>52</v>
      </c>
      <c r="N7" s="61" t="s">
        <v>36</v>
      </c>
      <c r="O7" s="61" t="s">
        <v>37</v>
      </c>
      <c r="P7" s="61" t="s">
        <v>38</v>
      </c>
      <c r="Q7" s="61" t="s">
        <v>271</v>
      </c>
      <c r="R7" s="61" t="s">
        <v>40</v>
      </c>
      <c r="S7" s="61" t="s">
        <v>41</v>
      </c>
      <c r="T7" s="61" t="s">
        <v>42</v>
      </c>
      <c r="U7" s="61" t="s">
        <v>43</v>
      </c>
      <c r="V7" s="61" t="s">
        <v>44</v>
      </c>
      <c r="W7" s="61" t="s">
        <v>50</v>
      </c>
      <c r="X7" s="61" t="s">
        <v>51</v>
      </c>
      <c r="Y7" s="63" t="s">
        <v>24</v>
      </c>
      <c r="Z7" s="61" t="s">
        <v>20</v>
      </c>
      <c r="AA7" s="63" t="s">
        <v>49</v>
      </c>
      <c r="AB7" s="63" t="s">
        <v>365</v>
      </c>
      <c r="AC7" s="63" t="s">
        <v>368</v>
      </c>
      <c r="AD7" s="63" t="s">
        <v>369</v>
      </c>
      <c r="AE7" s="63" t="s">
        <v>370</v>
      </c>
      <c r="AF7" s="63" t="s">
        <v>371</v>
      </c>
      <c r="AG7" s="63" t="s">
        <v>372</v>
      </c>
      <c r="AH7" s="63" t="s">
        <v>373</v>
      </c>
      <c r="AI7" s="61" t="str">
        <f>TRIM(_xlfn.TEXTJOIN(CHAR(9),TRUE,A7:AB7))</f>
        <v>#element	element Macroelement3d	$eTag	$nI	$nJ	$nE	$aX	$aY	$aZ	$oopX	$oopY	$oopZ	$element	$h	$L	$t	$Eelement	$G	$fc	$mu	$c	$Gc	$dropDrift	$muR	-density	density	-pDelta	-secantDamping</v>
      </c>
    </row>
    <row r="8" spans="1:46" s="38" customFormat="1" x14ac:dyDescent="0.3">
      <c r="A8" s="138" t="s">
        <v>45</v>
      </c>
      <c r="B8" s="138" t="s">
        <v>2</v>
      </c>
      <c r="C8" s="139"/>
      <c r="AI8" s="38" t="str">
        <f>TRIM(_xlfn.TEXTJOIN(CHAR(9),TRUE,B8:AA8))</f>
        <v>#Wall 1</v>
      </c>
    </row>
    <row r="9" spans="1:46" x14ac:dyDescent="0.3">
      <c r="A9" s="66" t="s">
        <v>21</v>
      </c>
      <c r="B9" s="66" t="s">
        <v>48</v>
      </c>
      <c r="C9" s="68">
        <v>1</v>
      </c>
      <c r="D9" s="68">
        <v>1</v>
      </c>
      <c r="E9" s="68">
        <v>2</v>
      </c>
      <c r="F9" s="68">
        <v>103</v>
      </c>
      <c r="G9" s="68">
        <v>1</v>
      </c>
      <c r="H9" s="68">
        <v>0</v>
      </c>
      <c r="I9" s="68">
        <v>0</v>
      </c>
      <c r="J9" s="68">
        <v>0</v>
      </c>
      <c r="K9" s="68">
        <v>-1</v>
      </c>
      <c r="L9" s="68">
        <v>0</v>
      </c>
      <c r="M9" s="66" t="str">
        <f>IF(I9=1,"-pier","-spandrel")</f>
        <v>-spandrel</v>
      </c>
      <c r="N9" s="69">
        <v>1.2</v>
      </c>
      <c r="O9" s="69">
        <v>0.65</v>
      </c>
      <c r="P9" s="69">
        <v>0.55000000000000004</v>
      </c>
      <c r="Q9" s="66" t="str">
        <f>IF(C9="","","$Eelement")</f>
        <v>$Eelement</v>
      </c>
      <c r="R9" s="66" t="str">
        <f>IF(C9="","","$Gs")</f>
        <v>$Gs</v>
      </c>
      <c r="S9" s="66" t="str">
        <f>IF(C9="","","$fc")</f>
        <v>$fc</v>
      </c>
      <c r="T9" s="66" t="str">
        <f>IF(C9="","","$mus")</f>
        <v>$mus</v>
      </c>
      <c r="U9" s="66" t="str">
        <f>IF(C9="","","$coh")</f>
        <v>$coh</v>
      </c>
      <c r="V9" s="66" t="str">
        <f>IF(C9="","","$Gc")</f>
        <v>$Gc</v>
      </c>
      <c r="W9" s="66" t="str">
        <f>IF(C9="","","$dropDrift")</f>
        <v>$dropDrift</v>
      </c>
      <c r="X9" s="66" t="str">
        <f>IF(C9="","","$muR")</f>
        <v>$muR</v>
      </c>
      <c r="Y9" s="66" t="str">
        <f>IF(C9="","","-density")</f>
        <v>-density</v>
      </c>
      <c r="Z9" s="66" t="str">
        <f>IF(C9="","","$rho")</f>
        <v>$rho</v>
      </c>
      <c r="AA9" s="66" t="str">
        <f>IF(C9="","","")</f>
        <v/>
      </c>
      <c r="AB9" s="66" t="str">
        <f t="shared" ref="AB9:AB40" si="0">IF(W9="","",$AB$7)</f>
        <v>-secantDamping</v>
      </c>
      <c r="AC9" s="66" t="str">
        <f>IF(W9="","",$AC$7)</f>
        <v>-driftS</v>
      </c>
      <c r="AD9" s="66" t="str">
        <f>IF(W9="","",$AD$7)</f>
        <v>$driftS</v>
      </c>
      <c r="AE9" s="66" t="str">
        <f>IF(W9="","",$AE$7)</f>
        <v>0.8</v>
      </c>
      <c r="AF9" s="66" t="str">
        <f>IF(Z9="","",$AF$7)</f>
        <v>-driftF</v>
      </c>
      <c r="AG9" s="66" t="str">
        <f>IF(W9="","",$AG$7)</f>
        <v>$driftF</v>
      </c>
      <c r="AH9" s="66" t="str">
        <f>IF(W9="","",$AH$7)</f>
        <v>0.0</v>
      </c>
      <c r="AI9" s="66" t="str" cm="1">
        <f t="array" ref="AI9">TRIM(_xlfn.TEXTJOIN(CHAR(9),TRUE,B9:M9, TEXT(ROUND(N9:P9,3),"0.000"),Q9:AD9,TEXT(ROUND(AE9,1),"0.0"),AF9:AG9,TEXT(ROUND(AH9,1),"0.0")))</f>
        <v>element Macroelement3d	1	1	2	103	1	0	0	0	-1	0	-spandrel	1.200	0.650	0.550	$Eelement	$Gs	$fc	$mus	$coh	$Gc	$dropDrift	$muR	-density	$rho	-secantDamping	-driftS	$driftS	0.8	-driftF	$driftF	0.0</v>
      </c>
      <c r="AT9">
        <f t="shared" ref="AT9:AT40" si="1">IF(C9="","",N9*O9*P9)</f>
        <v>0.42900000000000005</v>
      </c>
    </row>
    <row r="10" spans="1:46" x14ac:dyDescent="0.3">
      <c r="A10" s="66" t="s">
        <v>21</v>
      </c>
      <c r="B10" s="66" t="s">
        <v>48</v>
      </c>
      <c r="C10" s="68">
        <v>2</v>
      </c>
      <c r="D10" s="68">
        <v>2</v>
      </c>
      <c r="E10" s="68">
        <v>3</v>
      </c>
      <c r="F10" s="68">
        <v>104</v>
      </c>
      <c r="G10" s="68">
        <v>1</v>
      </c>
      <c r="H10" s="68">
        <v>0</v>
      </c>
      <c r="I10" s="68">
        <v>0</v>
      </c>
      <c r="J10" s="68">
        <v>0</v>
      </c>
      <c r="K10" s="68">
        <v>-1</v>
      </c>
      <c r="L10" s="68">
        <v>0</v>
      </c>
      <c r="M10" s="66" t="str">
        <f t="shared" ref="M10:M73" si="2">IF(I10=1,"-pier","-spandrel")</f>
        <v>-spandrel</v>
      </c>
      <c r="N10" s="69">
        <v>1.2</v>
      </c>
      <c r="O10" s="69">
        <v>0.65</v>
      </c>
      <c r="P10" s="69">
        <v>0.55000000000000004</v>
      </c>
      <c r="Q10" s="66" t="str">
        <f t="shared" ref="Q10:Q73" si="3">IF(C10="","","$Eelement")</f>
        <v>$Eelement</v>
      </c>
      <c r="R10" s="66" t="str">
        <f t="shared" ref="R10:R73" si="4">IF(C10="","","$Gs")</f>
        <v>$Gs</v>
      </c>
      <c r="S10" s="66" t="str">
        <f t="shared" ref="S10:S73" si="5">IF(C10="","","$fc")</f>
        <v>$fc</v>
      </c>
      <c r="T10" s="66" t="str">
        <f t="shared" ref="T10:T73" si="6">IF(C10="","","$mus")</f>
        <v>$mus</v>
      </c>
      <c r="U10" s="66" t="str">
        <f t="shared" ref="U10:U73" si="7">IF(C10="","","$coh")</f>
        <v>$coh</v>
      </c>
      <c r="V10" s="66" t="str">
        <f t="shared" ref="V10:V73" si="8">IF(C10="","","$Gc")</f>
        <v>$Gc</v>
      </c>
      <c r="W10" s="66" t="str">
        <f t="shared" ref="W10:W73" si="9">IF(C10="","","$dropDrift")</f>
        <v>$dropDrift</v>
      </c>
      <c r="X10" s="66" t="str">
        <f t="shared" ref="X10:X73" si="10">IF(C10="","","$muR")</f>
        <v>$muR</v>
      </c>
      <c r="Y10" s="66" t="str">
        <f t="shared" ref="Y10:Y73" si="11">IF(C10="","","-density")</f>
        <v>-density</v>
      </c>
      <c r="Z10" s="66" t="str">
        <f t="shared" ref="Z10:Z73" si="12">IF(C10="","","$rho")</f>
        <v>$rho</v>
      </c>
      <c r="AA10" s="66" t="str">
        <f t="shared" ref="AA10:AA12" si="13">IF(C10="","","")</f>
        <v/>
      </c>
      <c r="AB10" s="66" t="str">
        <f t="shared" si="0"/>
        <v>-secantDamping</v>
      </c>
      <c r="AC10" s="66" t="str">
        <f t="shared" ref="AC10:AC73" si="14">IF(W10="","",$AC$7)</f>
        <v>-driftS</v>
      </c>
      <c r="AD10" s="66" t="str">
        <f t="shared" ref="AD10:AD73" si="15">IF(W10="","",$AD$7)</f>
        <v>$driftS</v>
      </c>
      <c r="AE10" s="66" t="str">
        <f t="shared" ref="AE10:AE73" si="16">IF(W10="","",$AE$7)</f>
        <v>0.8</v>
      </c>
      <c r="AF10" s="66" t="str">
        <f t="shared" ref="AF10:AF73" si="17">IF(Z10="","",$AF$7)</f>
        <v>-driftF</v>
      </c>
      <c r="AG10" s="66" t="str">
        <f t="shared" ref="AG10:AG73" si="18">IF(W10="","",$AG$7)</f>
        <v>$driftF</v>
      </c>
      <c r="AH10" s="66" t="str">
        <f t="shared" ref="AH10:AH73" si="19">IF(W10="","",$AH$7)</f>
        <v>0.0</v>
      </c>
      <c r="AI10" s="66" t="str" cm="1">
        <f t="array" ref="AI10">TRIM(_xlfn.TEXTJOIN(CHAR(9),TRUE,B10:M10, TEXT(ROUND(N10:P10,3),"0.000"),Q10:AD10,TEXT(ROUND(AE10,1),"0.0"),AF10:AG10,TEXT(ROUND(AH10,1),"0.0")))</f>
        <v>element Macroelement3d	2	2	3	104	1	0	0	0	-1	0	-spandrel	1.200	0.650	0.550	$Eelement	$Gs	$fc	$mus	$coh	$Gc	$dropDrift	$muR	-density	$rho	-secantDamping	-driftS	$driftS	0.8	-driftF	$driftF	0.0</v>
      </c>
      <c r="AT10">
        <f t="shared" si="1"/>
        <v>0.42900000000000005</v>
      </c>
    </row>
    <row r="11" spans="1:46" x14ac:dyDescent="0.3">
      <c r="A11" s="66" t="s">
        <v>21</v>
      </c>
      <c r="B11" s="66" t="s">
        <v>48</v>
      </c>
      <c r="C11" s="68">
        <v>3</v>
      </c>
      <c r="D11" s="68">
        <v>3</v>
      </c>
      <c r="E11" s="68">
        <v>5</v>
      </c>
      <c r="F11" s="68">
        <v>105</v>
      </c>
      <c r="G11" s="68">
        <v>1</v>
      </c>
      <c r="H11" s="68">
        <v>0</v>
      </c>
      <c r="I11" s="68">
        <v>0</v>
      </c>
      <c r="J11" s="68">
        <v>0</v>
      </c>
      <c r="K11" s="68">
        <v>-1</v>
      </c>
      <c r="L11" s="68">
        <v>0</v>
      </c>
      <c r="M11" s="66" t="str">
        <f t="shared" si="2"/>
        <v>-spandrel</v>
      </c>
      <c r="N11" s="69">
        <v>1.2</v>
      </c>
      <c r="O11" s="69">
        <v>0.65</v>
      </c>
      <c r="P11" s="69">
        <v>0.55000000000000004</v>
      </c>
      <c r="Q11" s="66" t="str">
        <f t="shared" si="3"/>
        <v>$Eelement</v>
      </c>
      <c r="R11" s="66" t="str">
        <f t="shared" si="4"/>
        <v>$Gs</v>
      </c>
      <c r="S11" s="66" t="str">
        <f t="shared" si="5"/>
        <v>$fc</v>
      </c>
      <c r="T11" s="66" t="str">
        <f t="shared" si="6"/>
        <v>$mus</v>
      </c>
      <c r="U11" s="66" t="str">
        <f t="shared" si="7"/>
        <v>$coh</v>
      </c>
      <c r="V11" s="66" t="str">
        <f t="shared" si="8"/>
        <v>$Gc</v>
      </c>
      <c r="W11" s="66" t="str">
        <f t="shared" si="9"/>
        <v>$dropDrift</v>
      </c>
      <c r="X11" s="66" t="str">
        <f t="shared" si="10"/>
        <v>$muR</v>
      </c>
      <c r="Y11" s="66" t="str">
        <f t="shared" si="11"/>
        <v>-density</v>
      </c>
      <c r="Z11" s="66" t="str">
        <f t="shared" si="12"/>
        <v>$rho</v>
      </c>
      <c r="AA11" s="66" t="str">
        <f t="shared" si="13"/>
        <v/>
      </c>
      <c r="AB11" s="66" t="str">
        <f t="shared" si="0"/>
        <v>-secantDamping</v>
      </c>
      <c r="AC11" s="66" t="str">
        <f t="shared" si="14"/>
        <v>-driftS</v>
      </c>
      <c r="AD11" s="66" t="str">
        <f t="shared" si="15"/>
        <v>$driftS</v>
      </c>
      <c r="AE11" s="66" t="str">
        <f t="shared" si="16"/>
        <v>0.8</v>
      </c>
      <c r="AF11" s="66" t="str">
        <f t="shared" si="17"/>
        <v>-driftF</v>
      </c>
      <c r="AG11" s="66" t="str">
        <f t="shared" si="18"/>
        <v>$driftF</v>
      </c>
      <c r="AH11" s="66" t="str">
        <f t="shared" si="19"/>
        <v>0.0</v>
      </c>
      <c r="AI11" s="66" t="str" cm="1">
        <f t="array" ref="AI11">TRIM(_xlfn.TEXTJOIN(CHAR(9),TRUE,B11:M11, TEXT(ROUND(N11:P11,3),"0.000"),Q11:AD11,TEXT(ROUND(AE11,1),"0.0"),AF11:AG11,TEXT(ROUND(AH11,1),"0.0")))</f>
        <v>element Macroelement3d	3	3	5	105	1	0	0	0	-1	0	-spandrel	1.200	0.650	0.550	$Eelement	$Gs	$fc	$mus	$coh	$Gc	$dropDrift	$muR	-density	$rho	-secantDamping	-driftS	$driftS	0.8	-driftF	$driftF	0.0</v>
      </c>
      <c r="AT11">
        <f t="shared" si="1"/>
        <v>0.42900000000000005</v>
      </c>
    </row>
    <row r="12" spans="1:46" x14ac:dyDescent="0.3">
      <c r="A12" s="66" t="s">
        <v>21</v>
      </c>
      <c r="B12" s="66" t="s">
        <v>48</v>
      </c>
      <c r="C12" s="68">
        <v>4</v>
      </c>
      <c r="D12" s="68">
        <v>5</v>
      </c>
      <c r="E12" s="68">
        <v>6</v>
      </c>
      <c r="F12" s="68">
        <v>106</v>
      </c>
      <c r="G12" s="68">
        <v>1</v>
      </c>
      <c r="H12" s="68">
        <v>0</v>
      </c>
      <c r="I12" s="68">
        <v>0</v>
      </c>
      <c r="J12" s="68">
        <v>0</v>
      </c>
      <c r="K12" s="68">
        <v>-1</v>
      </c>
      <c r="L12" s="68">
        <v>0</v>
      </c>
      <c r="M12" s="66" t="str">
        <f t="shared" si="2"/>
        <v>-spandrel</v>
      </c>
      <c r="N12" s="69">
        <v>1.2</v>
      </c>
      <c r="O12" s="69">
        <v>0.65</v>
      </c>
      <c r="P12" s="69">
        <v>0.55000000000000004</v>
      </c>
      <c r="Q12" s="66" t="str">
        <f t="shared" si="3"/>
        <v>$Eelement</v>
      </c>
      <c r="R12" s="66" t="str">
        <f t="shared" si="4"/>
        <v>$Gs</v>
      </c>
      <c r="S12" s="66" t="str">
        <f t="shared" si="5"/>
        <v>$fc</v>
      </c>
      <c r="T12" s="66" t="str">
        <f t="shared" si="6"/>
        <v>$mus</v>
      </c>
      <c r="U12" s="66" t="str">
        <f t="shared" si="7"/>
        <v>$coh</v>
      </c>
      <c r="V12" s="66" t="str">
        <f t="shared" si="8"/>
        <v>$Gc</v>
      </c>
      <c r="W12" s="66" t="str">
        <f t="shared" si="9"/>
        <v>$dropDrift</v>
      </c>
      <c r="X12" s="66" t="str">
        <f t="shared" si="10"/>
        <v>$muR</v>
      </c>
      <c r="Y12" s="66" t="str">
        <f t="shared" si="11"/>
        <v>-density</v>
      </c>
      <c r="Z12" s="66" t="str">
        <f t="shared" si="12"/>
        <v>$rho</v>
      </c>
      <c r="AA12" s="66" t="str">
        <f t="shared" si="13"/>
        <v/>
      </c>
      <c r="AB12" s="66" t="str">
        <f t="shared" si="0"/>
        <v>-secantDamping</v>
      </c>
      <c r="AC12" s="66" t="str">
        <f t="shared" si="14"/>
        <v>-driftS</v>
      </c>
      <c r="AD12" s="66" t="str">
        <f t="shared" si="15"/>
        <v>$driftS</v>
      </c>
      <c r="AE12" s="66" t="str">
        <f t="shared" si="16"/>
        <v>0.8</v>
      </c>
      <c r="AF12" s="66" t="str">
        <f t="shared" si="17"/>
        <v>-driftF</v>
      </c>
      <c r="AG12" s="66" t="str">
        <f t="shared" si="18"/>
        <v>$driftF</v>
      </c>
      <c r="AH12" s="66" t="str">
        <f t="shared" si="19"/>
        <v>0.0</v>
      </c>
      <c r="AI12" s="66" t="str" cm="1">
        <f t="array" ref="AI12">TRIM(_xlfn.TEXTJOIN(CHAR(9),TRUE,B12:M12, TEXT(ROUND(N12:P12,3),"0.000"),Q12:AD12,TEXT(ROUND(AE12,1),"0.0"),AF12:AG12,TEXT(ROUND(AH12,1),"0.0")))</f>
        <v>element Macroelement3d	4	5	6	106	1	0	0	0	-1	0	-spandrel	1.200	0.650	0.550	$Eelement	$Gs	$fc	$mus	$coh	$Gc	$dropDrift	$muR	-density	$rho	-secantDamping	-driftS	$driftS	0.8	-driftF	$driftF	0.0</v>
      </c>
      <c r="AT12">
        <f t="shared" si="1"/>
        <v>0.42900000000000005</v>
      </c>
    </row>
    <row r="13" spans="1:46" x14ac:dyDescent="0.3">
      <c r="A13" s="66" t="s">
        <v>21</v>
      </c>
      <c r="B13" s="66" t="s">
        <v>48</v>
      </c>
      <c r="C13" s="68">
        <v>5</v>
      </c>
      <c r="D13" s="68">
        <v>7</v>
      </c>
      <c r="E13" s="68">
        <v>1</v>
      </c>
      <c r="F13" s="68">
        <v>107</v>
      </c>
      <c r="G13" s="68">
        <v>0</v>
      </c>
      <c r="H13" s="68">
        <v>0</v>
      </c>
      <c r="I13" s="68">
        <v>1</v>
      </c>
      <c r="J13" s="68">
        <v>0</v>
      </c>
      <c r="K13" s="68">
        <v>-1</v>
      </c>
      <c r="L13" s="68">
        <v>0</v>
      </c>
      <c r="M13" s="66" t="str">
        <f t="shared" si="2"/>
        <v>-pier</v>
      </c>
      <c r="N13" s="69">
        <v>1.7</v>
      </c>
      <c r="O13" s="69">
        <v>2.08</v>
      </c>
      <c r="P13" s="69">
        <v>0.55000000000000004</v>
      </c>
      <c r="Q13" s="66" t="str">
        <f t="shared" si="3"/>
        <v>$Eelement</v>
      </c>
      <c r="R13" s="66" t="str">
        <f t="shared" si="4"/>
        <v>$Gs</v>
      </c>
      <c r="S13" s="66" t="str">
        <f t="shared" si="5"/>
        <v>$fc</v>
      </c>
      <c r="T13" s="66" t="str">
        <f t="shared" si="6"/>
        <v>$mus</v>
      </c>
      <c r="U13" s="66" t="str">
        <f t="shared" si="7"/>
        <v>$coh</v>
      </c>
      <c r="V13" s="66" t="str">
        <f t="shared" si="8"/>
        <v>$Gc</v>
      </c>
      <c r="W13" s="66" t="str">
        <f t="shared" si="9"/>
        <v>$dropDrift</v>
      </c>
      <c r="X13" s="66" t="str">
        <f t="shared" si="10"/>
        <v>$muR</v>
      </c>
      <c r="Y13" s="66" t="str">
        <f t="shared" si="11"/>
        <v>-density</v>
      </c>
      <c r="Z13" s="66" t="str">
        <f t="shared" si="12"/>
        <v>$rho</v>
      </c>
      <c r="AA13" s="66" t="str">
        <f t="shared" ref="AA13:AA73" si="20">IF(C13="","","-pDelta")</f>
        <v>-pDelta</v>
      </c>
      <c r="AB13" s="66" t="str">
        <f t="shared" si="0"/>
        <v>-secantDamping</v>
      </c>
      <c r="AC13" s="66" t="str">
        <f t="shared" si="14"/>
        <v>-driftS</v>
      </c>
      <c r="AD13" s="66" t="str">
        <f t="shared" si="15"/>
        <v>$driftS</v>
      </c>
      <c r="AE13" s="66" t="str">
        <f t="shared" si="16"/>
        <v>0.8</v>
      </c>
      <c r="AF13" s="66" t="str">
        <f t="shared" si="17"/>
        <v>-driftF</v>
      </c>
      <c r="AG13" s="66" t="str">
        <f t="shared" si="18"/>
        <v>$driftF</v>
      </c>
      <c r="AH13" s="66" t="str">
        <f t="shared" si="19"/>
        <v>0.0</v>
      </c>
      <c r="AI13" s="66" t="str" cm="1">
        <f t="array" ref="AI13">TRIM(_xlfn.TEXTJOIN(CHAR(9),TRUE,B13:M13, TEXT(ROUND(N13:P13,3),"0.000"),Q13:AD13,TEXT(ROUND(AE13,1),"0.0"),AF13:AG13,TEXT(ROUND(AH13,1),"0.0")))</f>
        <v>element Macroelement3d	5	7	1	107	0	0	1	0	-1	0	-pier	1.700	2.080	0.550	$Eelement	$Gs	$fc	$mus	$coh	$Gc	$dropDrift	$muR	-density	$rho	-pDelta	-secantDamping	-driftS	$driftS	0.8	-driftF	$driftF	0.0</v>
      </c>
      <c r="AT13">
        <f t="shared" si="1"/>
        <v>1.9448000000000001</v>
      </c>
    </row>
    <row r="14" spans="1:46" x14ac:dyDescent="0.3">
      <c r="A14" s="66" t="s">
        <v>21</v>
      </c>
      <c r="B14" s="66" t="s">
        <v>48</v>
      </c>
      <c r="C14" s="68">
        <v>6</v>
      </c>
      <c r="D14" s="68">
        <v>8</v>
      </c>
      <c r="E14" s="68">
        <v>2</v>
      </c>
      <c r="F14" s="68">
        <v>108</v>
      </c>
      <c r="G14" s="68">
        <v>0</v>
      </c>
      <c r="H14" s="68">
        <v>0</v>
      </c>
      <c r="I14" s="68">
        <v>1</v>
      </c>
      <c r="J14" s="68">
        <v>0</v>
      </c>
      <c r="K14" s="68">
        <v>-1</v>
      </c>
      <c r="L14" s="68">
        <v>0</v>
      </c>
      <c r="M14" s="66" t="str">
        <f t="shared" si="2"/>
        <v>-pier</v>
      </c>
      <c r="N14" s="69">
        <v>1.7</v>
      </c>
      <c r="O14" s="69">
        <v>2.5</v>
      </c>
      <c r="P14" s="69">
        <v>0.55000000000000004</v>
      </c>
      <c r="Q14" s="66" t="str">
        <f t="shared" si="3"/>
        <v>$Eelement</v>
      </c>
      <c r="R14" s="66" t="str">
        <f t="shared" si="4"/>
        <v>$Gs</v>
      </c>
      <c r="S14" s="66" t="str">
        <f t="shared" si="5"/>
        <v>$fc</v>
      </c>
      <c r="T14" s="66" t="str">
        <f t="shared" si="6"/>
        <v>$mus</v>
      </c>
      <c r="U14" s="66" t="str">
        <f t="shared" si="7"/>
        <v>$coh</v>
      </c>
      <c r="V14" s="66" t="str">
        <f t="shared" si="8"/>
        <v>$Gc</v>
      </c>
      <c r="W14" s="66" t="str">
        <f t="shared" si="9"/>
        <v>$dropDrift</v>
      </c>
      <c r="X14" s="66" t="str">
        <f t="shared" si="10"/>
        <v>$muR</v>
      </c>
      <c r="Y14" s="66" t="str">
        <f t="shared" si="11"/>
        <v>-density</v>
      </c>
      <c r="Z14" s="66" t="str">
        <f t="shared" si="12"/>
        <v>$rho</v>
      </c>
      <c r="AA14" s="66" t="str">
        <f t="shared" si="20"/>
        <v>-pDelta</v>
      </c>
      <c r="AB14" s="66" t="str">
        <f t="shared" si="0"/>
        <v>-secantDamping</v>
      </c>
      <c r="AC14" s="66" t="str">
        <f t="shared" si="14"/>
        <v>-driftS</v>
      </c>
      <c r="AD14" s="66" t="str">
        <f t="shared" si="15"/>
        <v>$driftS</v>
      </c>
      <c r="AE14" s="66" t="str">
        <f t="shared" si="16"/>
        <v>0.8</v>
      </c>
      <c r="AF14" s="66" t="str">
        <f t="shared" si="17"/>
        <v>-driftF</v>
      </c>
      <c r="AG14" s="66" t="str">
        <f t="shared" si="18"/>
        <v>$driftF</v>
      </c>
      <c r="AH14" s="66" t="str">
        <f t="shared" si="19"/>
        <v>0.0</v>
      </c>
      <c r="AI14" s="66" t="str" cm="1">
        <f t="array" ref="AI14">TRIM(_xlfn.TEXTJOIN(CHAR(9),TRUE,B14:M14, TEXT(ROUND(N14:P14,3),"0.000"),Q14:AD14,TEXT(ROUND(AE14,1),"0.0"),AF14:AG14,TEXT(ROUND(AH14,1),"0.0")))</f>
        <v>element Macroelement3d	6	8	2	108	0	0	1	0	-1	0	-pier	1.700	2.500	0.550	$Eelement	$Gs	$fc	$mus	$coh	$Gc	$dropDrift	$muR	-density	$rho	-pDelta	-secantDamping	-driftS	$driftS	0.8	-driftF	$driftF	0.0</v>
      </c>
      <c r="AT14">
        <f t="shared" si="1"/>
        <v>2.3375000000000004</v>
      </c>
    </row>
    <row r="15" spans="1:46" x14ac:dyDescent="0.3">
      <c r="A15" s="66" t="s">
        <v>21</v>
      </c>
      <c r="B15" s="66" t="s">
        <v>48</v>
      </c>
      <c r="C15" s="68">
        <v>7</v>
      </c>
      <c r="D15" s="68">
        <v>9</v>
      </c>
      <c r="E15" s="68">
        <v>3</v>
      </c>
      <c r="F15" s="68">
        <v>109</v>
      </c>
      <c r="G15" s="68">
        <v>0</v>
      </c>
      <c r="H15" s="68">
        <v>0</v>
      </c>
      <c r="I15" s="68">
        <v>1</v>
      </c>
      <c r="J15" s="68">
        <v>0</v>
      </c>
      <c r="K15" s="68">
        <v>-1</v>
      </c>
      <c r="L15" s="68">
        <v>0</v>
      </c>
      <c r="M15" s="66" t="str">
        <f t="shared" si="2"/>
        <v>-pier</v>
      </c>
      <c r="N15" s="69">
        <v>1.7</v>
      </c>
      <c r="O15" s="69">
        <v>3.2</v>
      </c>
      <c r="P15" s="69">
        <v>0.55000000000000004</v>
      </c>
      <c r="Q15" s="66" t="str">
        <f t="shared" si="3"/>
        <v>$Eelement</v>
      </c>
      <c r="R15" s="66" t="str">
        <f t="shared" si="4"/>
        <v>$Gs</v>
      </c>
      <c r="S15" s="66" t="str">
        <f t="shared" si="5"/>
        <v>$fc</v>
      </c>
      <c r="T15" s="66" t="str">
        <f t="shared" si="6"/>
        <v>$mus</v>
      </c>
      <c r="U15" s="66" t="str">
        <f t="shared" si="7"/>
        <v>$coh</v>
      </c>
      <c r="V15" s="66" t="str">
        <f t="shared" si="8"/>
        <v>$Gc</v>
      </c>
      <c r="W15" s="66" t="str">
        <f t="shared" si="9"/>
        <v>$dropDrift</v>
      </c>
      <c r="X15" s="66" t="str">
        <f t="shared" si="10"/>
        <v>$muR</v>
      </c>
      <c r="Y15" s="66" t="str">
        <f t="shared" si="11"/>
        <v>-density</v>
      </c>
      <c r="Z15" s="66" t="str">
        <f t="shared" si="12"/>
        <v>$rho</v>
      </c>
      <c r="AA15" s="66" t="str">
        <f t="shared" si="20"/>
        <v>-pDelta</v>
      </c>
      <c r="AB15" s="66" t="str">
        <f t="shared" si="0"/>
        <v>-secantDamping</v>
      </c>
      <c r="AC15" s="66" t="str">
        <f t="shared" si="14"/>
        <v>-driftS</v>
      </c>
      <c r="AD15" s="66" t="str">
        <f t="shared" si="15"/>
        <v>$driftS</v>
      </c>
      <c r="AE15" s="66" t="str">
        <f t="shared" si="16"/>
        <v>0.8</v>
      </c>
      <c r="AF15" s="66" t="str">
        <f t="shared" si="17"/>
        <v>-driftF</v>
      </c>
      <c r="AG15" s="66" t="str">
        <f t="shared" si="18"/>
        <v>$driftF</v>
      </c>
      <c r="AH15" s="66" t="str">
        <f t="shared" si="19"/>
        <v>0.0</v>
      </c>
      <c r="AI15" s="66" t="str" cm="1">
        <f t="array" ref="AI15">TRIM(_xlfn.TEXTJOIN(CHAR(9),TRUE,B15:M15, TEXT(ROUND(N15:P15,3),"0.000"),Q15:AD15,TEXT(ROUND(AE15,1),"0.0"),AF15:AG15,TEXT(ROUND(AH15,1),"0.0")))</f>
        <v>element Macroelement3d	7	9	3	109	0	0	1	0	-1	0	-pier	1.700	3.200	0.550	$Eelement	$Gs	$fc	$mus	$coh	$Gc	$dropDrift	$muR	-density	$rho	-pDelta	-secantDamping	-driftS	$driftS	0.8	-driftF	$driftF	0.0</v>
      </c>
      <c r="AT15">
        <f t="shared" si="1"/>
        <v>2.9920000000000004</v>
      </c>
    </row>
    <row r="16" spans="1:46" x14ac:dyDescent="0.3">
      <c r="A16" s="66" t="s">
        <v>21</v>
      </c>
      <c r="B16" s="66" t="s">
        <v>48</v>
      </c>
      <c r="C16" s="68">
        <v>9</v>
      </c>
      <c r="D16" s="68">
        <v>11</v>
      </c>
      <c r="E16" s="68">
        <v>5</v>
      </c>
      <c r="F16" s="68">
        <v>110</v>
      </c>
      <c r="G16" s="68">
        <v>0</v>
      </c>
      <c r="H16" s="68">
        <v>0</v>
      </c>
      <c r="I16" s="68">
        <v>1</v>
      </c>
      <c r="J16" s="68">
        <v>0</v>
      </c>
      <c r="K16" s="68">
        <v>-1</v>
      </c>
      <c r="L16" s="68">
        <v>0</v>
      </c>
      <c r="M16" s="66" t="str">
        <f t="shared" si="2"/>
        <v>-pier</v>
      </c>
      <c r="N16" s="69">
        <v>1.7</v>
      </c>
      <c r="O16" s="69">
        <v>2.5</v>
      </c>
      <c r="P16" s="69">
        <v>0.55000000000000004</v>
      </c>
      <c r="Q16" s="66" t="str">
        <f t="shared" si="3"/>
        <v>$Eelement</v>
      </c>
      <c r="R16" s="66" t="str">
        <f t="shared" si="4"/>
        <v>$Gs</v>
      </c>
      <c r="S16" s="66" t="str">
        <f t="shared" si="5"/>
        <v>$fc</v>
      </c>
      <c r="T16" s="66" t="str">
        <f t="shared" si="6"/>
        <v>$mus</v>
      </c>
      <c r="U16" s="66" t="str">
        <f t="shared" si="7"/>
        <v>$coh</v>
      </c>
      <c r="V16" s="66" t="str">
        <f t="shared" si="8"/>
        <v>$Gc</v>
      </c>
      <c r="W16" s="66" t="str">
        <f t="shared" si="9"/>
        <v>$dropDrift</v>
      </c>
      <c r="X16" s="66" t="str">
        <f t="shared" si="10"/>
        <v>$muR</v>
      </c>
      <c r="Y16" s="66" t="str">
        <f t="shared" si="11"/>
        <v>-density</v>
      </c>
      <c r="Z16" s="66" t="str">
        <f t="shared" si="12"/>
        <v>$rho</v>
      </c>
      <c r="AA16" s="66" t="str">
        <f t="shared" si="20"/>
        <v>-pDelta</v>
      </c>
      <c r="AB16" s="66" t="str">
        <f t="shared" si="0"/>
        <v>-secantDamping</v>
      </c>
      <c r="AC16" s="66" t="str">
        <f t="shared" si="14"/>
        <v>-driftS</v>
      </c>
      <c r="AD16" s="66" t="str">
        <f t="shared" si="15"/>
        <v>$driftS</v>
      </c>
      <c r="AE16" s="66" t="str">
        <f t="shared" si="16"/>
        <v>0.8</v>
      </c>
      <c r="AF16" s="66" t="str">
        <f t="shared" si="17"/>
        <v>-driftF</v>
      </c>
      <c r="AG16" s="66" t="str">
        <f t="shared" si="18"/>
        <v>$driftF</v>
      </c>
      <c r="AH16" s="66" t="str">
        <f t="shared" si="19"/>
        <v>0.0</v>
      </c>
      <c r="AI16" s="66" t="str" cm="1">
        <f t="array" ref="AI16">TRIM(_xlfn.TEXTJOIN(CHAR(9),TRUE,B16:M16, TEXT(ROUND(N16:P16,3),"0.000"),Q16:AD16,TEXT(ROUND(AE16,1),"0.0"),AF16:AG16,TEXT(ROUND(AH16,1),"0.0")))</f>
        <v>element Macroelement3d	9	11	5	110	0	0	1	0	-1	0	-pier	1.700	2.500	0.550	$Eelement	$Gs	$fc	$mus	$coh	$Gc	$dropDrift	$muR	-density	$rho	-pDelta	-secantDamping	-driftS	$driftS	0.8	-driftF	$driftF	0.0</v>
      </c>
      <c r="AT16">
        <f t="shared" si="1"/>
        <v>2.3375000000000004</v>
      </c>
    </row>
    <row r="17" spans="1:46" x14ac:dyDescent="0.3">
      <c r="A17" s="66" t="s">
        <v>21</v>
      </c>
      <c r="B17" s="66" t="s">
        <v>48</v>
      </c>
      <c r="C17" s="68">
        <v>10</v>
      </c>
      <c r="D17" s="68">
        <v>12</v>
      </c>
      <c r="E17" s="68">
        <v>6</v>
      </c>
      <c r="F17" s="68">
        <v>111</v>
      </c>
      <c r="G17" s="68">
        <v>0</v>
      </c>
      <c r="H17" s="68">
        <v>0</v>
      </c>
      <c r="I17" s="68">
        <v>1</v>
      </c>
      <c r="J17" s="68">
        <v>0</v>
      </c>
      <c r="K17" s="68">
        <v>-1</v>
      </c>
      <c r="L17" s="68">
        <v>0</v>
      </c>
      <c r="M17" s="66" t="str">
        <f t="shared" si="2"/>
        <v>-pier</v>
      </c>
      <c r="N17" s="69">
        <v>1.7</v>
      </c>
      <c r="O17" s="69">
        <v>2.08</v>
      </c>
      <c r="P17" s="69">
        <v>0.55000000000000004</v>
      </c>
      <c r="Q17" s="66" t="str">
        <f t="shared" si="3"/>
        <v>$Eelement</v>
      </c>
      <c r="R17" s="66" t="str">
        <f t="shared" si="4"/>
        <v>$Gs</v>
      </c>
      <c r="S17" s="66" t="str">
        <f t="shared" si="5"/>
        <v>$fc</v>
      </c>
      <c r="T17" s="66" t="str">
        <f t="shared" si="6"/>
        <v>$mus</v>
      </c>
      <c r="U17" s="66" t="str">
        <f t="shared" si="7"/>
        <v>$coh</v>
      </c>
      <c r="V17" s="66" t="str">
        <f t="shared" si="8"/>
        <v>$Gc</v>
      </c>
      <c r="W17" s="66" t="str">
        <f t="shared" si="9"/>
        <v>$dropDrift</v>
      </c>
      <c r="X17" s="66" t="str">
        <f t="shared" si="10"/>
        <v>$muR</v>
      </c>
      <c r="Y17" s="66" t="str">
        <f t="shared" si="11"/>
        <v>-density</v>
      </c>
      <c r="Z17" s="66" t="str">
        <f t="shared" si="12"/>
        <v>$rho</v>
      </c>
      <c r="AA17" s="66" t="str">
        <f t="shared" si="20"/>
        <v>-pDelta</v>
      </c>
      <c r="AB17" s="66" t="str">
        <f t="shared" si="0"/>
        <v>-secantDamping</v>
      </c>
      <c r="AC17" s="66" t="str">
        <f t="shared" si="14"/>
        <v>-driftS</v>
      </c>
      <c r="AD17" s="66" t="str">
        <f t="shared" si="15"/>
        <v>$driftS</v>
      </c>
      <c r="AE17" s="66" t="str">
        <f t="shared" si="16"/>
        <v>0.8</v>
      </c>
      <c r="AF17" s="66" t="str">
        <f t="shared" si="17"/>
        <v>-driftF</v>
      </c>
      <c r="AG17" s="66" t="str">
        <f t="shared" si="18"/>
        <v>$driftF</v>
      </c>
      <c r="AH17" s="66" t="str">
        <f t="shared" si="19"/>
        <v>0.0</v>
      </c>
      <c r="AI17" s="66" t="str" cm="1">
        <f t="array" ref="AI17">TRIM(_xlfn.TEXTJOIN(CHAR(9),TRUE,B17:M17, TEXT(ROUND(N17:P17,3),"0.000"),Q17:AD17,TEXT(ROUND(AE17,1),"0.0"),AF17:AG17,TEXT(ROUND(AH17,1),"0.0")))</f>
        <v>element Macroelement3d	10	12	6	111	0	0	1	0	-1	0	-pier	1.700	2.080	0.550	$Eelement	$Gs	$fc	$mus	$coh	$Gc	$dropDrift	$muR	-density	$rho	-pDelta	-secantDamping	-driftS	$driftS	0.8	-driftF	$driftF	0.0</v>
      </c>
      <c r="AT17">
        <f t="shared" si="1"/>
        <v>1.9448000000000001</v>
      </c>
    </row>
    <row r="18" spans="1:46" x14ac:dyDescent="0.3">
      <c r="A18" s="66" t="s">
        <v>21</v>
      </c>
      <c r="B18" s="66" t="s">
        <v>48</v>
      </c>
      <c r="C18" s="68">
        <v>11</v>
      </c>
      <c r="D18" s="68">
        <v>7</v>
      </c>
      <c r="E18" s="68">
        <v>8</v>
      </c>
      <c r="F18" s="68">
        <v>112</v>
      </c>
      <c r="G18" s="68">
        <v>1</v>
      </c>
      <c r="H18" s="68">
        <v>0</v>
      </c>
      <c r="I18" s="68">
        <v>0</v>
      </c>
      <c r="J18" s="68">
        <v>0</v>
      </c>
      <c r="K18" s="68">
        <v>-1</v>
      </c>
      <c r="L18" s="68">
        <v>0</v>
      </c>
      <c r="M18" s="66" t="str">
        <f t="shared" si="2"/>
        <v>-spandrel</v>
      </c>
      <c r="N18" s="69">
        <v>1.2</v>
      </c>
      <c r="O18" s="69">
        <v>1.55</v>
      </c>
      <c r="P18" s="69">
        <v>0.6</v>
      </c>
      <c r="Q18" s="66" t="str">
        <f t="shared" si="3"/>
        <v>$Eelement</v>
      </c>
      <c r="R18" s="66" t="str">
        <f t="shared" si="4"/>
        <v>$Gs</v>
      </c>
      <c r="S18" s="66" t="str">
        <f t="shared" si="5"/>
        <v>$fc</v>
      </c>
      <c r="T18" s="66" t="str">
        <f t="shared" si="6"/>
        <v>$mus</v>
      </c>
      <c r="U18" s="66" t="str">
        <f t="shared" si="7"/>
        <v>$coh</v>
      </c>
      <c r="V18" s="66" t="str">
        <f t="shared" si="8"/>
        <v>$Gc</v>
      </c>
      <c r="W18" s="66" t="str">
        <f t="shared" si="9"/>
        <v>$dropDrift</v>
      </c>
      <c r="X18" s="66" t="str">
        <f t="shared" si="10"/>
        <v>$muR</v>
      </c>
      <c r="Y18" s="66" t="str">
        <f t="shared" si="11"/>
        <v>-density</v>
      </c>
      <c r="Z18" s="66" t="str">
        <f t="shared" si="12"/>
        <v>$rho</v>
      </c>
      <c r="AA18" s="66" t="str">
        <f t="shared" si="20"/>
        <v>-pDelta</v>
      </c>
      <c r="AB18" s="66" t="str">
        <f t="shared" si="0"/>
        <v>-secantDamping</v>
      </c>
      <c r="AC18" s="66" t="str">
        <f t="shared" si="14"/>
        <v>-driftS</v>
      </c>
      <c r="AD18" s="66" t="str">
        <f t="shared" si="15"/>
        <v>$driftS</v>
      </c>
      <c r="AE18" s="66" t="str">
        <f t="shared" si="16"/>
        <v>0.8</v>
      </c>
      <c r="AF18" s="66" t="str">
        <f t="shared" si="17"/>
        <v>-driftF</v>
      </c>
      <c r="AG18" s="66" t="str">
        <f t="shared" si="18"/>
        <v>$driftF</v>
      </c>
      <c r="AH18" s="66" t="str">
        <f t="shared" si="19"/>
        <v>0.0</v>
      </c>
      <c r="AI18" s="66" t="str" cm="1">
        <f t="array" ref="AI18">TRIM(_xlfn.TEXTJOIN(CHAR(9),TRUE,B18:M18, TEXT(ROUND(N18:P18,3),"0.000"),Q18:AD18,TEXT(ROUND(AE18,1),"0.0"),AF18:AG18,TEXT(ROUND(AH18,1),"0.0")))</f>
        <v>element Macroelement3d	11	7	8	112	1	0	0	0	-1	0	-spandrel	1.200	1.550	0.600	$Eelement	$Gs	$fc	$mus	$coh	$Gc	$dropDrift	$muR	-density	$rho	-pDelta	-secantDamping	-driftS	$driftS	0.8	-driftF	$driftF	0.0</v>
      </c>
      <c r="AT18">
        <f t="shared" si="1"/>
        <v>1.1159999999999999</v>
      </c>
    </row>
    <row r="19" spans="1:46" x14ac:dyDescent="0.3">
      <c r="A19" s="66" t="s">
        <v>21</v>
      </c>
      <c r="B19" s="66" t="s">
        <v>48</v>
      </c>
      <c r="C19" s="68">
        <v>12</v>
      </c>
      <c r="D19" s="68">
        <v>8</v>
      </c>
      <c r="E19" s="68">
        <v>9</v>
      </c>
      <c r="F19" s="68">
        <v>113</v>
      </c>
      <c r="G19" s="68">
        <v>1</v>
      </c>
      <c r="H19" s="68">
        <v>0</v>
      </c>
      <c r="I19" s="68">
        <v>0</v>
      </c>
      <c r="J19" s="68">
        <v>0</v>
      </c>
      <c r="K19" s="68">
        <v>-1</v>
      </c>
      <c r="L19" s="68">
        <v>0</v>
      </c>
      <c r="M19" s="66" t="str">
        <f t="shared" si="2"/>
        <v>-spandrel</v>
      </c>
      <c r="N19" s="69">
        <v>1.2</v>
      </c>
      <c r="O19" s="69">
        <v>1.55</v>
      </c>
      <c r="P19" s="69">
        <v>0.6</v>
      </c>
      <c r="Q19" s="66" t="str">
        <f t="shared" si="3"/>
        <v>$Eelement</v>
      </c>
      <c r="R19" s="66" t="str">
        <f t="shared" si="4"/>
        <v>$Gs</v>
      </c>
      <c r="S19" s="66" t="str">
        <f t="shared" si="5"/>
        <v>$fc</v>
      </c>
      <c r="T19" s="66" t="str">
        <f t="shared" si="6"/>
        <v>$mus</v>
      </c>
      <c r="U19" s="66" t="str">
        <f t="shared" si="7"/>
        <v>$coh</v>
      </c>
      <c r="V19" s="66" t="str">
        <f t="shared" si="8"/>
        <v>$Gc</v>
      </c>
      <c r="W19" s="66" t="str">
        <f t="shared" si="9"/>
        <v>$dropDrift</v>
      </c>
      <c r="X19" s="66" t="str">
        <f t="shared" si="10"/>
        <v>$muR</v>
      </c>
      <c r="Y19" s="66" t="str">
        <f t="shared" si="11"/>
        <v>-density</v>
      </c>
      <c r="Z19" s="66" t="str">
        <f t="shared" si="12"/>
        <v>$rho</v>
      </c>
      <c r="AA19" s="66" t="str">
        <f t="shared" si="20"/>
        <v>-pDelta</v>
      </c>
      <c r="AB19" s="66" t="str">
        <f t="shared" si="0"/>
        <v>-secantDamping</v>
      </c>
      <c r="AC19" s="66" t="str">
        <f t="shared" si="14"/>
        <v>-driftS</v>
      </c>
      <c r="AD19" s="66" t="str">
        <f t="shared" si="15"/>
        <v>$driftS</v>
      </c>
      <c r="AE19" s="66" t="str">
        <f t="shared" si="16"/>
        <v>0.8</v>
      </c>
      <c r="AF19" s="66" t="str">
        <f t="shared" si="17"/>
        <v>-driftF</v>
      </c>
      <c r="AG19" s="66" t="str">
        <f t="shared" si="18"/>
        <v>$driftF</v>
      </c>
      <c r="AH19" s="66" t="str">
        <f t="shared" si="19"/>
        <v>0.0</v>
      </c>
      <c r="AI19" s="66" t="str" cm="1">
        <f t="array" ref="AI19">TRIM(_xlfn.TEXTJOIN(CHAR(9),TRUE,B19:M19, TEXT(ROUND(N19:P19,3),"0.000"),Q19:AD19,TEXT(ROUND(AE19,1),"0.0"),AF19:AG19,TEXT(ROUND(AH19,1),"0.0")))</f>
        <v>element Macroelement3d	12	8	9	113	1	0	0	0	-1	0	-spandrel	1.200	1.550	0.600	$Eelement	$Gs	$fc	$mus	$coh	$Gc	$dropDrift	$muR	-density	$rho	-pDelta	-secantDamping	-driftS	$driftS	0.8	-driftF	$driftF	0.0</v>
      </c>
      <c r="AT19">
        <f t="shared" si="1"/>
        <v>1.1159999999999999</v>
      </c>
    </row>
    <row r="20" spans="1:46" x14ac:dyDescent="0.3">
      <c r="A20" s="66" t="s">
        <v>21</v>
      </c>
      <c r="B20" s="66" t="s">
        <v>48</v>
      </c>
      <c r="C20" s="68">
        <v>13</v>
      </c>
      <c r="D20" s="68">
        <v>9</v>
      </c>
      <c r="E20" s="68">
        <v>11</v>
      </c>
      <c r="F20" s="68">
        <v>114</v>
      </c>
      <c r="G20" s="68">
        <v>1</v>
      </c>
      <c r="H20" s="68">
        <v>0</v>
      </c>
      <c r="I20" s="68">
        <v>0</v>
      </c>
      <c r="J20" s="68">
        <v>0</v>
      </c>
      <c r="K20" s="68">
        <v>-1</v>
      </c>
      <c r="L20" s="68">
        <v>0</v>
      </c>
      <c r="M20" s="66" t="str">
        <f t="shared" si="2"/>
        <v>-spandrel</v>
      </c>
      <c r="N20" s="69">
        <v>1.2</v>
      </c>
      <c r="O20" s="69">
        <v>1.55</v>
      </c>
      <c r="P20" s="69">
        <v>0.6</v>
      </c>
      <c r="Q20" s="66" t="str">
        <f t="shared" si="3"/>
        <v>$Eelement</v>
      </c>
      <c r="R20" s="66" t="str">
        <f t="shared" si="4"/>
        <v>$Gs</v>
      </c>
      <c r="S20" s="66" t="str">
        <f t="shared" si="5"/>
        <v>$fc</v>
      </c>
      <c r="T20" s="66" t="str">
        <f t="shared" si="6"/>
        <v>$mus</v>
      </c>
      <c r="U20" s="66" t="str">
        <f t="shared" si="7"/>
        <v>$coh</v>
      </c>
      <c r="V20" s="66" t="str">
        <f t="shared" si="8"/>
        <v>$Gc</v>
      </c>
      <c r="W20" s="66" t="str">
        <f t="shared" si="9"/>
        <v>$dropDrift</v>
      </c>
      <c r="X20" s="66" t="str">
        <f t="shared" si="10"/>
        <v>$muR</v>
      </c>
      <c r="Y20" s="66" t="str">
        <f t="shared" si="11"/>
        <v>-density</v>
      </c>
      <c r="Z20" s="66" t="str">
        <f t="shared" si="12"/>
        <v>$rho</v>
      </c>
      <c r="AA20" s="66" t="str">
        <f t="shared" si="20"/>
        <v>-pDelta</v>
      </c>
      <c r="AB20" s="66" t="str">
        <f t="shared" si="0"/>
        <v>-secantDamping</v>
      </c>
      <c r="AC20" s="66" t="str">
        <f t="shared" si="14"/>
        <v>-driftS</v>
      </c>
      <c r="AD20" s="66" t="str">
        <f t="shared" si="15"/>
        <v>$driftS</v>
      </c>
      <c r="AE20" s="66" t="str">
        <f t="shared" si="16"/>
        <v>0.8</v>
      </c>
      <c r="AF20" s="66" t="str">
        <f t="shared" si="17"/>
        <v>-driftF</v>
      </c>
      <c r="AG20" s="66" t="str">
        <f t="shared" si="18"/>
        <v>$driftF</v>
      </c>
      <c r="AH20" s="66" t="str">
        <f t="shared" si="19"/>
        <v>0.0</v>
      </c>
      <c r="AI20" s="66" t="str" cm="1">
        <f t="array" ref="AI20">TRIM(_xlfn.TEXTJOIN(CHAR(9),TRUE,B20:M20, TEXT(ROUND(N20:P20,3),"0.000"),Q20:AD20,TEXT(ROUND(AE20,1),"0.0"),AF20:AG20,TEXT(ROUND(AH20,1),"0.0")))</f>
        <v>element Macroelement3d	13	9	11	114	1	0	0	0	-1	0	-spandrel	1.200	1.550	0.600	$Eelement	$Gs	$fc	$mus	$coh	$Gc	$dropDrift	$muR	-density	$rho	-pDelta	-secantDamping	-driftS	$driftS	0.8	-driftF	$driftF	0.0</v>
      </c>
      <c r="AT20">
        <f t="shared" si="1"/>
        <v>1.1159999999999999</v>
      </c>
    </row>
    <row r="21" spans="1:46" x14ac:dyDescent="0.3">
      <c r="A21" s="66" t="s">
        <v>21</v>
      </c>
      <c r="B21" s="66" t="s">
        <v>48</v>
      </c>
      <c r="C21" s="68">
        <v>14</v>
      </c>
      <c r="D21" s="68">
        <v>11</v>
      </c>
      <c r="E21" s="68">
        <v>12</v>
      </c>
      <c r="F21" s="68">
        <v>115</v>
      </c>
      <c r="G21" s="68">
        <v>1</v>
      </c>
      <c r="H21" s="68">
        <v>0</v>
      </c>
      <c r="I21" s="68">
        <v>0</v>
      </c>
      <c r="J21" s="68">
        <v>0</v>
      </c>
      <c r="K21" s="68">
        <v>-1</v>
      </c>
      <c r="L21" s="68">
        <v>0</v>
      </c>
      <c r="M21" s="66" t="str">
        <f t="shared" si="2"/>
        <v>-spandrel</v>
      </c>
      <c r="N21" s="69">
        <v>1.2</v>
      </c>
      <c r="O21" s="69">
        <v>1.55</v>
      </c>
      <c r="P21" s="69">
        <v>0.6</v>
      </c>
      <c r="Q21" s="66" t="str">
        <f t="shared" si="3"/>
        <v>$Eelement</v>
      </c>
      <c r="R21" s="66" t="str">
        <f t="shared" si="4"/>
        <v>$Gs</v>
      </c>
      <c r="S21" s="66" t="str">
        <f t="shared" si="5"/>
        <v>$fc</v>
      </c>
      <c r="T21" s="66" t="str">
        <f t="shared" si="6"/>
        <v>$mus</v>
      </c>
      <c r="U21" s="66" t="str">
        <f t="shared" si="7"/>
        <v>$coh</v>
      </c>
      <c r="V21" s="66" t="str">
        <f t="shared" si="8"/>
        <v>$Gc</v>
      </c>
      <c r="W21" s="66" t="str">
        <f t="shared" si="9"/>
        <v>$dropDrift</v>
      </c>
      <c r="X21" s="66" t="str">
        <f t="shared" si="10"/>
        <v>$muR</v>
      </c>
      <c r="Y21" s="66" t="str">
        <f t="shared" si="11"/>
        <v>-density</v>
      </c>
      <c r="Z21" s="66" t="str">
        <f t="shared" si="12"/>
        <v>$rho</v>
      </c>
      <c r="AA21" s="66" t="str">
        <f t="shared" si="20"/>
        <v>-pDelta</v>
      </c>
      <c r="AB21" s="66" t="str">
        <f t="shared" si="0"/>
        <v>-secantDamping</v>
      </c>
      <c r="AC21" s="66" t="str">
        <f t="shared" si="14"/>
        <v>-driftS</v>
      </c>
      <c r="AD21" s="66" t="str">
        <f t="shared" si="15"/>
        <v>$driftS</v>
      </c>
      <c r="AE21" s="66" t="str">
        <f t="shared" si="16"/>
        <v>0.8</v>
      </c>
      <c r="AF21" s="66" t="str">
        <f t="shared" si="17"/>
        <v>-driftF</v>
      </c>
      <c r="AG21" s="66" t="str">
        <f t="shared" si="18"/>
        <v>$driftF</v>
      </c>
      <c r="AH21" s="66" t="str">
        <f t="shared" si="19"/>
        <v>0.0</v>
      </c>
      <c r="AI21" s="66" t="str" cm="1">
        <f t="array" ref="AI21">TRIM(_xlfn.TEXTJOIN(CHAR(9),TRUE,B21:M21, TEXT(ROUND(N21:P21,3),"0.000"),Q21:AD21,TEXT(ROUND(AE21,1),"0.0"),AF21:AG21,TEXT(ROUND(AH21,1),"0.0")))</f>
        <v>element Macroelement3d	14	11	12	115	1	0	0	0	-1	0	-spandrel	1.200	1.550	0.600	$Eelement	$Gs	$fc	$mus	$coh	$Gc	$dropDrift	$muR	-density	$rho	-pDelta	-secantDamping	-driftS	$driftS	0.8	-driftF	$driftF	0.0</v>
      </c>
      <c r="AT21">
        <f t="shared" si="1"/>
        <v>1.1159999999999999</v>
      </c>
    </row>
    <row r="22" spans="1:46" x14ac:dyDescent="0.3">
      <c r="A22" s="66" t="s">
        <v>21</v>
      </c>
      <c r="B22" s="66" t="s">
        <v>48</v>
      </c>
      <c r="C22" s="68">
        <v>15</v>
      </c>
      <c r="D22" s="68">
        <v>13</v>
      </c>
      <c r="E22" s="68">
        <v>7</v>
      </c>
      <c r="F22" s="68">
        <v>116</v>
      </c>
      <c r="G22" s="68">
        <v>0</v>
      </c>
      <c r="H22" s="68">
        <v>0</v>
      </c>
      <c r="I22" s="68">
        <v>1</v>
      </c>
      <c r="J22" s="68">
        <v>0</v>
      </c>
      <c r="K22" s="68">
        <v>-1</v>
      </c>
      <c r="L22" s="68">
        <v>0</v>
      </c>
      <c r="M22" s="66" t="str">
        <f t="shared" si="2"/>
        <v>-pier</v>
      </c>
      <c r="N22" s="69">
        <v>1.4</v>
      </c>
      <c r="O22" s="69">
        <v>2.08</v>
      </c>
      <c r="P22" s="69">
        <v>0.7</v>
      </c>
      <c r="Q22" s="66" t="str">
        <f t="shared" si="3"/>
        <v>$Eelement</v>
      </c>
      <c r="R22" s="66" t="str">
        <f t="shared" si="4"/>
        <v>$Gs</v>
      </c>
      <c r="S22" s="66" t="str">
        <f t="shared" si="5"/>
        <v>$fc</v>
      </c>
      <c r="T22" s="66" t="str">
        <f t="shared" si="6"/>
        <v>$mus</v>
      </c>
      <c r="U22" s="66" t="str">
        <f t="shared" si="7"/>
        <v>$coh</v>
      </c>
      <c r="V22" s="66" t="str">
        <f t="shared" si="8"/>
        <v>$Gc</v>
      </c>
      <c r="W22" s="66" t="str">
        <f t="shared" si="9"/>
        <v>$dropDrift</v>
      </c>
      <c r="X22" s="66" t="str">
        <f t="shared" si="10"/>
        <v>$muR</v>
      </c>
      <c r="Y22" s="66" t="str">
        <f t="shared" si="11"/>
        <v>-density</v>
      </c>
      <c r="Z22" s="66" t="str">
        <f t="shared" si="12"/>
        <v>$rho</v>
      </c>
      <c r="AA22" s="66" t="str">
        <f t="shared" si="20"/>
        <v>-pDelta</v>
      </c>
      <c r="AB22" s="66" t="str">
        <f t="shared" si="0"/>
        <v>-secantDamping</v>
      </c>
      <c r="AC22" s="66" t="str">
        <f t="shared" si="14"/>
        <v>-driftS</v>
      </c>
      <c r="AD22" s="66" t="str">
        <f t="shared" si="15"/>
        <v>$driftS</v>
      </c>
      <c r="AE22" s="66" t="str">
        <f t="shared" si="16"/>
        <v>0.8</v>
      </c>
      <c r="AF22" s="66" t="str">
        <f t="shared" si="17"/>
        <v>-driftF</v>
      </c>
      <c r="AG22" s="66" t="str">
        <f t="shared" si="18"/>
        <v>$driftF</v>
      </c>
      <c r="AH22" s="66" t="str">
        <f t="shared" si="19"/>
        <v>0.0</v>
      </c>
      <c r="AI22" s="66" t="str" cm="1">
        <f t="array" ref="AI22">TRIM(_xlfn.TEXTJOIN(CHAR(9),TRUE,B22:M22, TEXT(ROUND(N22:P22,3),"0.000"),Q22:AD22,TEXT(ROUND(AE22,1),"0.0"),AF22:AG22,TEXT(ROUND(AH22,1),"0.0")))</f>
        <v>element Macroelement3d	15	13	7	116	0	0	1	0	-1	0	-pier	1.400	2.080	0.700	$Eelement	$Gs	$fc	$mus	$coh	$Gc	$dropDrift	$muR	-density	$rho	-pDelta	-secantDamping	-driftS	$driftS	0.8	-driftF	$driftF	0.0</v>
      </c>
      <c r="AT22">
        <f t="shared" si="1"/>
        <v>2.0383999999999998</v>
      </c>
    </row>
    <row r="23" spans="1:46" x14ac:dyDescent="0.3">
      <c r="A23" s="66" t="s">
        <v>21</v>
      </c>
      <c r="B23" s="66" t="s">
        <v>48</v>
      </c>
      <c r="C23" s="68">
        <v>16</v>
      </c>
      <c r="D23" s="68">
        <v>14</v>
      </c>
      <c r="E23" s="68">
        <v>8</v>
      </c>
      <c r="F23" s="68">
        <v>117</v>
      </c>
      <c r="G23" s="68">
        <v>0</v>
      </c>
      <c r="H23" s="68">
        <v>0</v>
      </c>
      <c r="I23" s="68">
        <v>1</v>
      </c>
      <c r="J23" s="68">
        <v>0</v>
      </c>
      <c r="K23" s="68">
        <v>-1</v>
      </c>
      <c r="L23" s="68">
        <v>0</v>
      </c>
      <c r="M23" s="66" t="str">
        <f t="shared" si="2"/>
        <v>-pier</v>
      </c>
      <c r="N23" s="69">
        <v>1.4</v>
      </c>
      <c r="O23" s="69">
        <v>2.5</v>
      </c>
      <c r="P23" s="69">
        <v>0.7</v>
      </c>
      <c r="Q23" s="66" t="str">
        <f t="shared" si="3"/>
        <v>$Eelement</v>
      </c>
      <c r="R23" s="66" t="str">
        <f t="shared" si="4"/>
        <v>$Gs</v>
      </c>
      <c r="S23" s="66" t="str">
        <f t="shared" si="5"/>
        <v>$fc</v>
      </c>
      <c r="T23" s="66" t="str">
        <f t="shared" si="6"/>
        <v>$mus</v>
      </c>
      <c r="U23" s="66" t="str">
        <f t="shared" si="7"/>
        <v>$coh</v>
      </c>
      <c r="V23" s="66" t="str">
        <f t="shared" si="8"/>
        <v>$Gc</v>
      </c>
      <c r="W23" s="66" t="str">
        <f t="shared" si="9"/>
        <v>$dropDrift</v>
      </c>
      <c r="X23" s="66" t="str">
        <f t="shared" si="10"/>
        <v>$muR</v>
      </c>
      <c r="Y23" s="66" t="str">
        <f t="shared" si="11"/>
        <v>-density</v>
      </c>
      <c r="Z23" s="66" t="str">
        <f t="shared" si="12"/>
        <v>$rho</v>
      </c>
      <c r="AA23" s="66" t="str">
        <f t="shared" si="20"/>
        <v>-pDelta</v>
      </c>
      <c r="AB23" s="66" t="str">
        <f t="shared" si="0"/>
        <v>-secantDamping</v>
      </c>
      <c r="AC23" s="66" t="str">
        <f t="shared" si="14"/>
        <v>-driftS</v>
      </c>
      <c r="AD23" s="66" t="str">
        <f t="shared" si="15"/>
        <v>$driftS</v>
      </c>
      <c r="AE23" s="66" t="str">
        <f t="shared" si="16"/>
        <v>0.8</v>
      </c>
      <c r="AF23" s="66" t="str">
        <f t="shared" si="17"/>
        <v>-driftF</v>
      </c>
      <c r="AG23" s="66" t="str">
        <f t="shared" si="18"/>
        <v>$driftF</v>
      </c>
      <c r="AH23" s="66" t="str">
        <f t="shared" si="19"/>
        <v>0.0</v>
      </c>
      <c r="AI23" s="66" t="str" cm="1">
        <f t="array" ref="AI23">TRIM(_xlfn.TEXTJOIN(CHAR(9),TRUE,B23:M23, TEXT(ROUND(N23:P23,3),"0.000"),Q23:AD23,TEXT(ROUND(AE23,1),"0.0"),AF23:AG23,TEXT(ROUND(AH23,1),"0.0")))</f>
        <v>element Macroelement3d	16	14	8	117	0	0	1	0	-1	0	-pier	1.400	2.500	0.700	$Eelement	$Gs	$fc	$mus	$coh	$Gc	$dropDrift	$muR	-density	$rho	-pDelta	-secantDamping	-driftS	$driftS	0.8	-driftF	$driftF	0.0</v>
      </c>
      <c r="AT23">
        <f t="shared" si="1"/>
        <v>2.4499999999999997</v>
      </c>
    </row>
    <row r="24" spans="1:46" x14ac:dyDescent="0.3">
      <c r="A24" s="66" t="s">
        <v>21</v>
      </c>
      <c r="B24" s="66" t="s">
        <v>48</v>
      </c>
      <c r="C24" s="68">
        <v>17</v>
      </c>
      <c r="D24" s="68">
        <v>15</v>
      </c>
      <c r="E24" s="68">
        <v>9</v>
      </c>
      <c r="F24" s="68">
        <v>118</v>
      </c>
      <c r="G24" s="68">
        <v>0</v>
      </c>
      <c r="H24" s="68">
        <v>0</v>
      </c>
      <c r="I24" s="68">
        <v>1</v>
      </c>
      <c r="J24" s="68">
        <v>0</v>
      </c>
      <c r="K24" s="68">
        <v>-1</v>
      </c>
      <c r="L24" s="68">
        <v>0</v>
      </c>
      <c r="M24" s="66" t="str">
        <f t="shared" si="2"/>
        <v>-pier</v>
      </c>
      <c r="N24" s="69">
        <v>2.2000000000000002</v>
      </c>
      <c r="O24" s="69">
        <v>0.85</v>
      </c>
      <c r="P24" s="69">
        <v>0.7</v>
      </c>
      <c r="Q24" s="66" t="str">
        <f t="shared" si="3"/>
        <v>$Eelement</v>
      </c>
      <c r="R24" s="66" t="str">
        <f t="shared" si="4"/>
        <v>$Gs</v>
      </c>
      <c r="S24" s="66" t="str">
        <f t="shared" si="5"/>
        <v>$fc</v>
      </c>
      <c r="T24" s="66" t="str">
        <f t="shared" si="6"/>
        <v>$mus</v>
      </c>
      <c r="U24" s="66" t="str">
        <f t="shared" si="7"/>
        <v>$coh</v>
      </c>
      <c r="V24" s="66" t="str">
        <f t="shared" si="8"/>
        <v>$Gc</v>
      </c>
      <c r="W24" s="66" t="str">
        <f t="shared" si="9"/>
        <v>$dropDrift</v>
      </c>
      <c r="X24" s="66" t="str">
        <f t="shared" si="10"/>
        <v>$muR</v>
      </c>
      <c r="Y24" s="66" t="str">
        <f t="shared" si="11"/>
        <v>-density</v>
      </c>
      <c r="Z24" s="66" t="str">
        <f t="shared" si="12"/>
        <v>$rho</v>
      </c>
      <c r="AA24" s="66" t="str">
        <f t="shared" si="20"/>
        <v>-pDelta</v>
      </c>
      <c r="AB24" s="66" t="str">
        <f t="shared" si="0"/>
        <v>-secantDamping</v>
      </c>
      <c r="AC24" s="66" t="str">
        <f t="shared" si="14"/>
        <v>-driftS</v>
      </c>
      <c r="AD24" s="66" t="str">
        <f t="shared" si="15"/>
        <v>$driftS</v>
      </c>
      <c r="AE24" s="66" t="str">
        <f t="shared" si="16"/>
        <v>0.8</v>
      </c>
      <c r="AF24" s="66" t="str">
        <f t="shared" si="17"/>
        <v>-driftF</v>
      </c>
      <c r="AG24" s="66" t="str">
        <f t="shared" si="18"/>
        <v>$driftF</v>
      </c>
      <c r="AH24" s="66" t="str">
        <f t="shared" si="19"/>
        <v>0.0</v>
      </c>
      <c r="AI24" s="66" t="str" cm="1">
        <f t="array" ref="AI24">TRIM(_xlfn.TEXTJOIN(CHAR(9),TRUE,B24:M24, TEXT(ROUND(N24:P24,3),"0.000"),Q24:AD24,TEXT(ROUND(AE24,1),"0.0"),AF24:AG24,TEXT(ROUND(AH24,1),"0.0")))</f>
        <v>element Macroelement3d	17	15	9	118	0	0	1	0	-1	0	-pier	2.200	0.850	0.700	$Eelement	$Gs	$fc	$mus	$coh	$Gc	$dropDrift	$muR	-density	$rho	-pDelta	-secantDamping	-driftS	$driftS	0.8	-driftF	$driftF	0.0</v>
      </c>
      <c r="AT24">
        <f t="shared" si="1"/>
        <v>1.3089999999999999</v>
      </c>
    </row>
    <row r="25" spans="1:46" x14ac:dyDescent="0.3">
      <c r="A25" s="66" t="s">
        <v>21</v>
      </c>
      <c r="B25" s="66" t="s">
        <v>48</v>
      </c>
      <c r="C25" s="68">
        <v>18</v>
      </c>
      <c r="D25" s="68">
        <v>16</v>
      </c>
      <c r="E25" s="68">
        <v>9</v>
      </c>
      <c r="F25" s="68">
        <v>119</v>
      </c>
      <c r="G25" s="68">
        <v>0</v>
      </c>
      <c r="H25" s="68">
        <v>0</v>
      </c>
      <c r="I25" s="68">
        <v>1</v>
      </c>
      <c r="J25" s="68">
        <v>0</v>
      </c>
      <c r="K25" s="68">
        <v>-1</v>
      </c>
      <c r="L25" s="68">
        <v>0</v>
      </c>
      <c r="M25" s="66" t="str">
        <f t="shared" si="2"/>
        <v>-pier</v>
      </c>
      <c r="N25" s="69">
        <v>2.2000000000000002</v>
      </c>
      <c r="O25" s="69">
        <v>0.85</v>
      </c>
      <c r="P25" s="69">
        <v>0.7</v>
      </c>
      <c r="Q25" s="66" t="str">
        <f t="shared" si="3"/>
        <v>$Eelement</v>
      </c>
      <c r="R25" s="66" t="str">
        <f t="shared" si="4"/>
        <v>$Gs</v>
      </c>
      <c r="S25" s="66" t="str">
        <f t="shared" si="5"/>
        <v>$fc</v>
      </c>
      <c r="T25" s="66" t="str">
        <f t="shared" si="6"/>
        <v>$mus</v>
      </c>
      <c r="U25" s="66" t="str">
        <f t="shared" si="7"/>
        <v>$coh</v>
      </c>
      <c r="V25" s="66" t="str">
        <f t="shared" si="8"/>
        <v>$Gc</v>
      </c>
      <c r="W25" s="66" t="str">
        <f t="shared" si="9"/>
        <v>$dropDrift</v>
      </c>
      <c r="X25" s="66" t="str">
        <f t="shared" si="10"/>
        <v>$muR</v>
      </c>
      <c r="Y25" s="66" t="str">
        <f t="shared" si="11"/>
        <v>-density</v>
      </c>
      <c r="Z25" s="66" t="str">
        <f t="shared" si="12"/>
        <v>$rho</v>
      </c>
      <c r="AA25" s="66" t="str">
        <f t="shared" si="20"/>
        <v>-pDelta</v>
      </c>
      <c r="AB25" s="66" t="str">
        <f t="shared" si="0"/>
        <v>-secantDamping</v>
      </c>
      <c r="AC25" s="66" t="str">
        <f t="shared" si="14"/>
        <v>-driftS</v>
      </c>
      <c r="AD25" s="66" t="str">
        <f t="shared" si="15"/>
        <v>$driftS</v>
      </c>
      <c r="AE25" s="66" t="str">
        <f t="shared" si="16"/>
        <v>0.8</v>
      </c>
      <c r="AF25" s="66" t="str">
        <f t="shared" si="17"/>
        <v>-driftF</v>
      </c>
      <c r="AG25" s="66" t="str">
        <f t="shared" si="18"/>
        <v>$driftF</v>
      </c>
      <c r="AH25" s="66" t="str">
        <f t="shared" si="19"/>
        <v>0.0</v>
      </c>
      <c r="AI25" s="66" t="str" cm="1">
        <f t="array" ref="AI25">TRIM(_xlfn.TEXTJOIN(CHAR(9),TRUE,B25:M25, TEXT(ROUND(N25:P25,3),"0.000"),Q25:AD25,TEXT(ROUND(AE25,1),"0.0"),AF25:AG25,TEXT(ROUND(AH25,1),"0.0")))</f>
        <v>element Macroelement3d	18	16	9	119	0	0	1	0	-1	0	-pier	2.200	0.850	0.700	$Eelement	$Gs	$fc	$mus	$coh	$Gc	$dropDrift	$muR	-density	$rho	-pDelta	-secantDamping	-driftS	$driftS	0.8	-driftF	$driftF	0.0</v>
      </c>
      <c r="AT25">
        <f t="shared" si="1"/>
        <v>1.3089999999999999</v>
      </c>
    </row>
    <row r="26" spans="1:46" x14ac:dyDescent="0.3">
      <c r="A26" s="66" t="s">
        <v>21</v>
      </c>
      <c r="B26" s="66" t="s">
        <v>48</v>
      </c>
      <c r="C26" s="68">
        <v>19</v>
      </c>
      <c r="D26" s="68">
        <v>17</v>
      </c>
      <c r="E26" s="68">
        <v>11</v>
      </c>
      <c r="F26" s="68">
        <v>120</v>
      </c>
      <c r="G26" s="68">
        <v>0</v>
      </c>
      <c r="H26" s="68">
        <v>0</v>
      </c>
      <c r="I26" s="68">
        <v>1</v>
      </c>
      <c r="J26" s="68">
        <v>0</v>
      </c>
      <c r="K26" s="68">
        <v>-1</v>
      </c>
      <c r="L26" s="68">
        <v>0</v>
      </c>
      <c r="M26" s="66" t="str">
        <f t="shared" si="2"/>
        <v>-pier</v>
      </c>
      <c r="N26" s="69">
        <v>1.4</v>
      </c>
      <c r="O26" s="69">
        <v>2.5</v>
      </c>
      <c r="P26" s="69">
        <v>0.7</v>
      </c>
      <c r="Q26" s="66" t="str">
        <f t="shared" si="3"/>
        <v>$Eelement</v>
      </c>
      <c r="R26" s="66" t="str">
        <f t="shared" si="4"/>
        <v>$Gs</v>
      </c>
      <c r="S26" s="66" t="str">
        <f t="shared" si="5"/>
        <v>$fc</v>
      </c>
      <c r="T26" s="66" t="str">
        <f t="shared" si="6"/>
        <v>$mus</v>
      </c>
      <c r="U26" s="66" t="str">
        <f t="shared" si="7"/>
        <v>$coh</v>
      </c>
      <c r="V26" s="66" t="str">
        <f t="shared" si="8"/>
        <v>$Gc</v>
      </c>
      <c r="W26" s="66" t="str">
        <f t="shared" si="9"/>
        <v>$dropDrift</v>
      </c>
      <c r="X26" s="66" t="str">
        <f t="shared" si="10"/>
        <v>$muR</v>
      </c>
      <c r="Y26" s="66" t="str">
        <f t="shared" si="11"/>
        <v>-density</v>
      </c>
      <c r="Z26" s="66" t="str">
        <f t="shared" si="12"/>
        <v>$rho</v>
      </c>
      <c r="AA26" s="66" t="str">
        <f t="shared" si="20"/>
        <v>-pDelta</v>
      </c>
      <c r="AB26" s="66" t="str">
        <f t="shared" si="0"/>
        <v>-secantDamping</v>
      </c>
      <c r="AC26" s="66" t="str">
        <f t="shared" si="14"/>
        <v>-driftS</v>
      </c>
      <c r="AD26" s="66" t="str">
        <f t="shared" si="15"/>
        <v>$driftS</v>
      </c>
      <c r="AE26" s="66" t="str">
        <f t="shared" si="16"/>
        <v>0.8</v>
      </c>
      <c r="AF26" s="66" t="str">
        <f t="shared" si="17"/>
        <v>-driftF</v>
      </c>
      <c r="AG26" s="66" t="str">
        <f t="shared" si="18"/>
        <v>$driftF</v>
      </c>
      <c r="AH26" s="66" t="str">
        <f t="shared" si="19"/>
        <v>0.0</v>
      </c>
      <c r="AI26" s="66" t="str" cm="1">
        <f t="array" ref="AI26">TRIM(_xlfn.TEXTJOIN(CHAR(9),TRUE,B26:M26, TEXT(ROUND(N26:P26,3),"0.000"),Q26:AD26,TEXT(ROUND(AE26,1),"0.0"),AF26:AG26,TEXT(ROUND(AH26,1),"0.0")))</f>
        <v>element Macroelement3d	19	17	11	120	0	0	1	0	-1	0	-pier	1.400	2.500	0.700	$Eelement	$Gs	$fc	$mus	$coh	$Gc	$dropDrift	$muR	-density	$rho	-pDelta	-secantDamping	-driftS	$driftS	0.8	-driftF	$driftF	0.0</v>
      </c>
      <c r="AT26">
        <f t="shared" si="1"/>
        <v>2.4499999999999997</v>
      </c>
    </row>
    <row r="27" spans="1:46" x14ac:dyDescent="0.3">
      <c r="A27" s="66" t="s">
        <v>21</v>
      </c>
      <c r="B27" s="66" t="s">
        <v>48</v>
      </c>
      <c r="C27" s="68">
        <v>20</v>
      </c>
      <c r="D27" s="68">
        <v>18</v>
      </c>
      <c r="E27" s="68">
        <v>12</v>
      </c>
      <c r="F27" s="68">
        <v>121</v>
      </c>
      <c r="G27" s="68">
        <v>0</v>
      </c>
      <c r="H27" s="68">
        <v>0</v>
      </c>
      <c r="I27" s="68">
        <v>1</v>
      </c>
      <c r="J27" s="68">
        <v>0</v>
      </c>
      <c r="K27" s="68">
        <v>-1</v>
      </c>
      <c r="L27" s="68">
        <v>0</v>
      </c>
      <c r="M27" s="66" t="str">
        <f t="shared" si="2"/>
        <v>-pier</v>
      </c>
      <c r="N27" s="69">
        <v>1.4</v>
      </c>
      <c r="O27" s="69">
        <v>2.08</v>
      </c>
      <c r="P27" s="69">
        <v>0.7</v>
      </c>
      <c r="Q27" s="66" t="str">
        <f t="shared" si="3"/>
        <v>$Eelement</v>
      </c>
      <c r="R27" s="66" t="str">
        <f t="shared" si="4"/>
        <v>$Gs</v>
      </c>
      <c r="S27" s="66" t="str">
        <f t="shared" si="5"/>
        <v>$fc</v>
      </c>
      <c r="T27" s="66" t="str">
        <f t="shared" si="6"/>
        <v>$mus</v>
      </c>
      <c r="U27" s="66" t="str">
        <f t="shared" si="7"/>
        <v>$coh</v>
      </c>
      <c r="V27" s="66" t="str">
        <f t="shared" si="8"/>
        <v>$Gc</v>
      </c>
      <c r="W27" s="66" t="str">
        <f t="shared" si="9"/>
        <v>$dropDrift</v>
      </c>
      <c r="X27" s="66" t="str">
        <f t="shared" si="10"/>
        <v>$muR</v>
      </c>
      <c r="Y27" s="66" t="str">
        <f t="shared" si="11"/>
        <v>-density</v>
      </c>
      <c r="Z27" s="66" t="str">
        <f t="shared" si="12"/>
        <v>$rho</v>
      </c>
      <c r="AA27" s="66" t="str">
        <f t="shared" si="20"/>
        <v>-pDelta</v>
      </c>
      <c r="AB27" s="66" t="str">
        <f t="shared" si="0"/>
        <v>-secantDamping</v>
      </c>
      <c r="AC27" s="66" t="str">
        <f t="shared" si="14"/>
        <v>-driftS</v>
      </c>
      <c r="AD27" s="66" t="str">
        <f t="shared" si="15"/>
        <v>$driftS</v>
      </c>
      <c r="AE27" s="66" t="str">
        <f t="shared" si="16"/>
        <v>0.8</v>
      </c>
      <c r="AF27" s="66" t="str">
        <f t="shared" si="17"/>
        <v>-driftF</v>
      </c>
      <c r="AG27" s="66" t="str">
        <f t="shared" si="18"/>
        <v>$driftF</v>
      </c>
      <c r="AH27" s="66" t="str">
        <f t="shared" si="19"/>
        <v>0.0</v>
      </c>
      <c r="AI27" s="66" t="str" cm="1">
        <f t="array" ref="AI27">TRIM(_xlfn.TEXTJOIN(CHAR(9),TRUE,B27:M27, TEXT(ROUND(N27:P27,3),"0.000"),Q27:AD27,TEXT(ROUND(AE27,1),"0.0"),AF27:AG27,TEXT(ROUND(AH27,1),"0.0")))</f>
        <v>element Macroelement3d	20	18	12	121	0	0	1	0	-1	0	-pier	1.400	2.080	0.700	$Eelement	$Gs	$fc	$mus	$coh	$Gc	$dropDrift	$muR	-density	$rho	-pDelta	-secantDamping	-driftS	$driftS	0.8	-driftF	$driftF	0.0</v>
      </c>
      <c r="AT27">
        <f t="shared" si="1"/>
        <v>2.0383999999999998</v>
      </c>
    </row>
    <row r="28" spans="1:46" x14ac:dyDescent="0.3">
      <c r="A28" s="66" t="s">
        <v>21</v>
      </c>
      <c r="B28" s="66" t="s">
        <v>48</v>
      </c>
      <c r="C28" s="68">
        <v>21</v>
      </c>
      <c r="D28" s="68">
        <v>13</v>
      </c>
      <c r="E28" s="68">
        <v>14</v>
      </c>
      <c r="F28" s="68">
        <v>122</v>
      </c>
      <c r="G28" s="68">
        <v>1</v>
      </c>
      <c r="H28" s="68">
        <v>0</v>
      </c>
      <c r="I28" s="68">
        <v>0</v>
      </c>
      <c r="J28" s="68">
        <v>0</v>
      </c>
      <c r="K28" s="68">
        <v>-1</v>
      </c>
      <c r="L28" s="68">
        <v>0</v>
      </c>
      <c r="M28" s="66" t="str">
        <f t="shared" si="2"/>
        <v>-spandrel</v>
      </c>
      <c r="N28" s="69">
        <v>1.2</v>
      </c>
      <c r="O28" s="69">
        <v>0.8</v>
      </c>
      <c r="P28" s="69">
        <v>0.7</v>
      </c>
      <c r="Q28" s="66" t="str">
        <f t="shared" si="3"/>
        <v>$Eelement</v>
      </c>
      <c r="R28" s="66" t="str">
        <f t="shared" si="4"/>
        <v>$Gs</v>
      </c>
      <c r="S28" s="66" t="str">
        <f t="shared" si="5"/>
        <v>$fc</v>
      </c>
      <c r="T28" s="66" t="str">
        <f t="shared" si="6"/>
        <v>$mus</v>
      </c>
      <c r="U28" s="66" t="str">
        <f t="shared" si="7"/>
        <v>$coh</v>
      </c>
      <c r="V28" s="66" t="str">
        <f t="shared" si="8"/>
        <v>$Gc</v>
      </c>
      <c r="W28" s="66" t="str">
        <f t="shared" si="9"/>
        <v>$dropDrift</v>
      </c>
      <c r="X28" s="66" t="str">
        <f t="shared" si="10"/>
        <v>$muR</v>
      </c>
      <c r="Y28" s="66" t="str">
        <f t="shared" si="11"/>
        <v>-density</v>
      </c>
      <c r="Z28" s="66" t="str">
        <f t="shared" si="12"/>
        <v>$rho</v>
      </c>
      <c r="AA28" s="66" t="str">
        <f t="shared" si="20"/>
        <v>-pDelta</v>
      </c>
      <c r="AB28" s="66" t="str">
        <f t="shared" si="0"/>
        <v>-secantDamping</v>
      </c>
      <c r="AC28" s="66" t="str">
        <f t="shared" si="14"/>
        <v>-driftS</v>
      </c>
      <c r="AD28" s="66" t="str">
        <f t="shared" si="15"/>
        <v>$driftS</v>
      </c>
      <c r="AE28" s="66" t="str">
        <f t="shared" si="16"/>
        <v>0.8</v>
      </c>
      <c r="AF28" s="66" t="str">
        <f t="shared" si="17"/>
        <v>-driftF</v>
      </c>
      <c r="AG28" s="66" t="str">
        <f t="shared" si="18"/>
        <v>$driftF</v>
      </c>
      <c r="AH28" s="66" t="str">
        <f t="shared" si="19"/>
        <v>0.0</v>
      </c>
      <c r="AI28" s="66" t="str" cm="1">
        <f t="array" ref="AI28">TRIM(_xlfn.TEXTJOIN(CHAR(9),TRUE,B28:M28, TEXT(ROUND(N28:P28,3),"0.000"),Q28:AD28,TEXT(ROUND(AE28,1),"0.0"),AF28:AG28,TEXT(ROUND(AH28,1),"0.0")))</f>
        <v>element Macroelement3d	21	13	14	122	1	0	0	0	-1	0	-spandrel	1.200	0.800	0.700	$Eelement	$Gs	$fc	$mus	$coh	$Gc	$dropDrift	$muR	-density	$rho	-pDelta	-secantDamping	-driftS	$driftS	0.8	-driftF	$driftF	0.0</v>
      </c>
      <c r="AT28">
        <f t="shared" si="1"/>
        <v>0.67199999999999993</v>
      </c>
    </row>
    <row r="29" spans="1:46" x14ac:dyDescent="0.3">
      <c r="A29" s="66" t="s">
        <v>21</v>
      </c>
      <c r="B29" s="66" t="s">
        <v>48</v>
      </c>
      <c r="C29" s="68">
        <v>22</v>
      </c>
      <c r="D29" s="68">
        <v>14</v>
      </c>
      <c r="E29" s="68">
        <v>15</v>
      </c>
      <c r="F29" s="68">
        <v>123</v>
      </c>
      <c r="G29" s="68">
        <v>1</v>
      </c>
      <c r="H29" s="68">
        <v>0</v>
      </c>
      <c r="I29" s="68">
        <v>0</v>
      </c>
      <c r="J29" s="68">
        <v>0</v>
      </c>
      <c r="K29" s="68">
        <v>-1</v>
      </c>
      <c r="L29" s="68">
        <v>0</v>
      </c>
      <c r="M29" s="66" t="str">
        <f t="shared" si="2"/>
        <v>-spandrel</v>
      </c>
      <c r="N29" s="69">
        <v>1.2</v>
      </c>
      <c r="O29" s="69">
        <v>0.8</v>
      </c>
      <c r="P29" s="69">
        <v>0.7</v>
      </c>
      <c r="Q29" s="66" t="str">
        <f t="shared" si="3"/>
        <v>$Eelement</v>
      </c>
      <c r="R29" s="66" t="str">
        <f t="shared" si="4"/>
        <v>$Gs</v>
      </c>
      <c r="S29" s="66" t="str">
        <f t="shared" si="5"/>
        <v>$fc</v>
      </c>
      <c r="T29" s="66" t="str">
        <f t="shared" si="6"/>
        <v>$mus</v>
      </c>
      <c r="U29" s="66" t="str">
        <f t="shared" si="7"/>
        <v>$coh</v>
      </c>
      <c r="V29" s="66" t="str">
        <f t="shared" si="8"/>
        <v>$Gc</v>
      </c>
      <c r="W29" s="66" t="str">
        <f t="shared" si="9"/>
        <v>$dropDrift</v>
      </c>
      <c r="X29" s="66" t="str">
        <f t="shared" si="10"/>
        <v>$muR</v>
      </c>
      <c r="Y29" s="66" t="str">
        <f t="shared" si="11"/>
        <v>-density</v>
      </c>
      <c r="Z29" s="66" t="str">
        <f t="shared" si="12"/>
        <v>$rho</v>
      </c>
      <c r="AA29" s="66" t="str">
        <f t="shared" si="20"/>
        <v>-pDelta</v>
      </c>
      <c r="AB29" s="66" t="str">
        <f t="shared" si="0"/>
        <v>-secantDamping</v>
      </c>
      <c r="AC29" s="66" t="str">
        <f t="shared" si="14"/>
        <v>-driftS</v>
      </c>
      <c r="AD29" s="66" t="str">
        <f t="shared" si="15"/>
        <v>$driftS</v>
      </c>
      <c r="AE29" s="66" t="str">
        <f t="shared" si="16"/>
        <v>0.8</v>
      </c>
      <c r="AF29" s="66" t="str">
        <f t="shared" si="17"/>
        <v>-driftF</v>
      </c>
      <c r="AG29" s="66" t="str">
        <f t="shared" si="18"/>
        <v>$driftF</v>
      </c>
      <c r="AH29" s="66" t="str">
        <f t="shared" si="19"/>
        <v>0.0</v>
      </c>
      <c r="AI29" s="66" t="str" cm="1">
        <f t="array" ref="AI29">TRIM(_xlfn.TEXTJOIN(CHAR(9),TRUE,B29:M29, TEXT(ROUND(N29:P29,3),"0.000"),Q29:AD29,TEXT(ROUND(AE29,1),"0.0"),AF29:AG29,TEXT(ROUND(AH29,1),"0.0")))</f>
        <v>element Macroelement3d	22	14	15	123	1	0	0	0	-1	0	-spandrel	1.200	0.800	0.700	$Eelement	$Gs	$fc	$mus	$coh	$Gc	$dropDrift	$muR	-density	$rho	-pDelta	-secantDamping	-driftS	$driftS	0.8	-driftF	$driftF	0.0</v>
      </c>
      <c r="AT29">
        <f t="shared" si="1"/>
        <v>0.67199999999999993</v>
      </c>
    </row>
    <row r="30" spans="1:46" x14ac:dyDescent="0.3">
      <c r="A30" s="66" t="s">
        <v>21</v>
      </c>
      <c r="B30" s="66" t="s">
        <v>48</v>
      </c>
      <c r="C30" s="68">
        <v>23</v>
      </c>
      <c r="D30" s="68">
        <v>16</v>
      </c>
      <c r="E30" s="68">
        <v>17</v>
      </c>
      <c r="F30" s="68">
        <v>124</v>
      </c>
      <c r="G30" s="68">
        <v>1</v>
      </c>
      <c r="H30" s="68">
        <v>0</v>
      </c>
      <c r="I30" s="68">
        <v>0</v>
      </c>
      <c r="J30" s="68">
        <v>0</v>
      </c>
      <c r="K30" s="68">
        <v>-1</v>
      </c>
      <c r="L30" s="68">
        <v>0</v>
      </c>
      <c r="M30" s="66" t="str">
        <f t="shared" si="2"/>
        <v>-spandrel</v>
      </c>
      <c r="N30" s="69">
        <v>1.2</v>
      </c>
      <c r="O30" s="69">
        <v>0.8</v>
      </c>
      <c r="P30" s="69">
        <v>0.7</v>
      </c>
      <c r="Q30" s="66" t="str">
        <f t="shared" si="3"/>
        <v>$Eelement</v>
      </c>
      <c r="R30" s="66" t="str">
        <f t="shared" si="4"/>
        <v>$Gs</v>
      </c>
      <c r="S30" s="66" t="str">
        <f t="shared" si="5"/>
        <v>$fc</v>
      </c>
      <c r="T30" s="66" t="str">
        <f t="shared" si="6"/>
        <v>$mus</v>
      </c>
      <c r="U30" s="66" t="str">
        <f t="shared" si="7"/>
        <v>$coh</v>
      </c>
      <c r="V30" s="66" t="str">
        <f t="shared" si="8"/>
        <v>$Gc</v>
      </c>
      <c r="W30" s="66" t="str">
        <f t="shared" si="9"/>
        <v>$dropDrift</v>
      </c>
      <c r="X30" s="66" t="str">
        <f t="shared" si="10"/>
        <v>$muR</v>
      </c>
      <c r="Y30" s="66" t="str">
        <f t="shared" si="11"/>
        <v>-density</v>
      </c>
      <c r="Z30" s="66" t="str">
        <f t="shared" si="12"/>
        <v>$rho</v>
      </c>
      <c r="AA30" s="66" t="str">
        <f t="shared" si="20"/>
        <v>-pDelta</v>
      </c>
      <c r="AB30" s="66" t="str">
        <f t="shared" si="0"/>
        <v>-secantDamping</v>
      </c>
      <c r="AC30" s="66" t="str">
        <f t="shared" si="14"/>
        <v>-driftS</v>
      </c>
      <c r="AD30" s="66" t="str">
        <f t="shared" si="15"/>
        <v>$driftS</v>
      </c>
      <c r="AE30" s="66" t="str">
        <f t="shared" si="16"/>
        <v>0.8</v>
      </c>
      <c r="AF30" s="66" t="str">
        <f t="shared" si="17"/>
        <v>-driftF</v>
      </c>
      <c r="AG30" s="66" t="str">
        <f t="shared" si="18"/>
        <v>$driftF</v>
      </c>
      <c r="AH30" s="66" t="str">
        <f t="shared" si="19"/>
        <v>0.0</v>
      </c>
      <c r="AI30" s="66" t="str" cm="1">
        <f t="array" ref="AI30">TRIM(_xlfn.TEXTJOIN(CHAR(9),TRUE,B30:M30, TEXT(ROUND(N30:P30,3),"0.000"),Q30:AD30,TEXT(ROUND(AE30,1),"0.0"),AF30:AG30,TEXT(ROUND(AH30,1),"0.0")))</f>
        <v>element Macroelement3d	23	16	17	124	1	0	0	0	-1	0	-spandrel	1.200	0.800	0.700	$Eelement	$Gs	$fc	$mus	$coh	$Gc	$dropDrift	$muR	-density	$rho	-pDelta	-secantDamping	-driftS	$driftS	0.8	-driftF	$driftF	0.0</v>
      </c>
      <c r="AT30">
        <f t="shared" si="1"/>
        <v>0.67199999999999993</v>
      </c>
    </row>
    <row r="31" spans="1:46" x14ac:dyDescent="0.3">
      <c r="A31" s="66" t="s">
        <v>21</v>
      </c>
      <c r="B31" s="66" t="s">
        <v>48</v>
      </c>
      <c r="C31" s="68">
        <v>24</v>
      </c>
      <c r="D31" s="68">
        <v>17</v>
      </c>
      <c r="E31" s="68">
        <v>18</v>
      </c>
      <c r="F31" s="68">
        <v>125</v>
      </c>
      <c r="G31" s="68">
        <v>1</v>
      </c>
      <c r="H31" s="68">
        <v>0</v>
      </c>
      <c r="I31" s="68">
        <v>0</v>
      </c>
      <c r="J31" s="68">
        <v>0</v>
      </c>
      <c r="K31" s="68">
        <v>-1</v>
      </c>
      <c r="L31" s="68">
        <v>0</v>
      </c>
      <c r="M31" s="66" t="str">
        <f t="shared" si="2"/>
        <v>-spandrel</v>
      </c>
      <c r="N31" s="69">
        <v>1.2</v>
      </c>
      <c r="O31" s="69">
        <v>0.8</v>
      </c>
      <c r="P31" s="69">
        <v>0.7</v>
      </c>
      <c r="Q31" s="66" t="str">
        <f t="shared" si="3"/>
        <v>$Eelement</v>
      </c>
      <c r="R31" s="66" t="str">
        <f t="shared" si="4"/>
        <v>$Gs</v>
      </c>
      <c r="S31" s="66" t="str">
        <f t="shared" si="5"/>
        <v>$fc</v>
      </c>
      <c r="T31" s="66" t="str">
        <f t="shared" si="6"/>
        <v>$mus</v>
      </c>
      <c r="U31" s="66" t="str">
        <f t="shared" si="7"/>
        <v>$coh</v>
      </c>
      <c r="V31" s="66" t="str">
        <f t="shared" si="8"/>
        <v>$Gc</v>
      </c>
      <c r="W31" s="66" t="str">
        <f t="shared" si="9"/>
        <v>$dropDrift</v>
      </c>
      <c r="X31" s="66" t="str">
        <f t="shared" si="10"/>
        <v>$muR</v>
      </c>
      <c r="Y31" s="66" t="str">
        <f t="shared" si="11"/>
        <v>-density</v>
      </c>
      <c r="Z31" s="66" t="str">
        <f t="shared" si="12"/>
        <v>$rho</v>
      </c>
      <c r="AA31" s="66" t="str">
        <f t="shared" si="20"/>
        <v>-pDelta</v>
      </c>
      <c r="AB31" s="66" t="str">
        <f t="shared" si="0"/>
        <v>-secantDamping</v>
      </c>
      <c r="AC31" s="66" t="str">
        <f t="shared" si="14"/>
        <v>-driftS</v>
      </c>
      <c r="AD31" s="66" t="str">
        <f t="shared" si="15"/>
        <v>$driftS</v>
      </c>
      <c r="AE31" s="66" t="str">
        <f t="shared" si="16"/>
        <v>0.8</v>
      </c>
      <c r="AF31" s="66" t="str">
        <f t="shared" si="17"/>
        <v>-driftF</v>
      </c>
      <c r="AG31" s="66" t="str">
        <f t="shared" si="18"/>
        <v>$driftF</v>
      </c>
      <c r="AH31" s="66" t="str">
        <f t="shared" si="19"/>
        <v>0.0</v>
      </c>
      <c r="AI31" s="66" t="str" cm="1">
        <f t="array" ref="AI31">TRIM(_xlfn.TEXTJOIN(CHAR(9),TRUE,B31:M31, TEXT(ROUND(N31:P31,3),"0.000"),Q31:AD31,TEXT(ROUND(AE31,1),"0.0"),AF31:AG31,TEXT(ROUND(AH31,1),"0.0")))</f>
        <v>element Macroelement3d	24	17	18	125	1	0	0	0	-1	0	-spandrel	1.200	0.800	0.700	$Eelement	$Gs	$fc	$mus	$coh	$Gc	$dropDrift	$muR	-density	$rho	-pDelta	-secantDamping	-driftS	$driftS	0.8	-driftF	$driftF	0.0</v>
      </c>
      <c r="AT31">
        <f t="shared" si="1"/>
        <v>0.67199999999999993</v>
      </c>
    </row>
    <row r="32" spans="1:46" x14ac:dyDescent="0.3">
      <c r="C32" s="29"/>
      <c r="D32" s="29"/>
      <c r="E32" s="29"/>
      <c r="F32" s="29"/>
      <c r="G32" s="29"/>
      <c r="H32" s="29"/>
      <c r="I32" s="29"/>
      <c r="J32" s="29"/>
      <c r="K32" s="29"/>
      <c r="L32" s="29"/>
      <c r="N32" s="2"/>
      <c r="O32" s="2"/>
      <c r="P32" s="2"/>
      <c r="Q32" t="str">
        <f t="shared" si="3"/>
        <v/>
      </c>
      <c r="R32" t="str">
        <f t="shared" si="4"/>
        <v/>
      </c>
      <c r="S32" t="str">
        <f t="shared" si="5"/>
        <v/>
      </c>
      <c r="T32" t="str">
        <f t="shared" si="6"/>
        <v/>
      </c>
      <c r="U32" t="str">
        <f t="shared" si="7"/>
        <v/>
      </c>
      <c r="V32" t="str">
        <f t="shared" si="8"/>
        <v/>
      </c>
      <c r="W32" t="str">
        <f t="shared" si="9"/>
        <v/>
      </c>
      <c r="X32" t="str">
        <f t="shared" si="10"/>
        <v/>
      </c>
      <c r="Y32" t="str">
        <f t="shared" si="11"/>
        <v/>
      </c>
      <c r="Z32" t="str">
        <f t="shared" si="12"/>
        <v/>
      </c>
      <c r="AA32" t="str">
        <f t="shared" si="20"/>
        <v/>
      </c>
      <c r="AB32" t="str">
        <f t="shared" si="0"/>
        <v/>
      </c>
      <c r="AC32" t="str">
        <f t="shared" si="14"/>
        <v/>
      </c>
      <c r="AD32" t="str">
        <f t="shared" si="15"/>
        <v/>
      </c>
      <c r="AE32" t="str">
        <f t="shared" si="16"/>
        <v/>
      </c>
      <c r="AF32" t="str">
        <f t="shared" si="17"/>
        <v/>
      </c>
      <c r="AG32" t="str">
        <f t="shared" si="18"/>
        <v/>
      </c>
      <c r="AH32" t="str">
        <f t="shared" si="19"/>
        <v/>
      </c>
      <c r="AT32" t="str">
        <f t="shared" si="1"/>
        <v/>
      </c>
    </row>
    <row r="33" spans="1:46" s="38" customFormat="1" x14ac:dyDescent="0.3">
      <c r="A33" s="138" t="s">
        <v>45</v>
      </c>
      <c r="B33" s="138" t="s">
        <v>3</v>
      </c>
      <c r="C33" s="139"/>
      <c r="Q33" s="38" t="str">
        <f t="shared" si="3"/>
        <v/>
      </c>
      <c r="R33" s="38" t="str">
        <f t="shared" si="4"/>
        <v/>
      </c>
      <c r="S33" s="38" t="str">
        <f t="shared" si="5"/>
        <v/>
      </c>
      <c r="T33" s="38" t="str">
        <f t="shared" si="6"/>
        <v/>
      </c>
      <c r="U33" s="38" t="str">
        <f t="shared" si="7"/>
        <v/>
      </c>
      <c r="V33" s="38" t="str">
        <f t="shared" si="8"/>
        <v/>
      </c>
      <c r="W33" s="38" t="str">
        <f t="shared" si="9"/>
        <v/>
      </c>
      <c r="X33" s="38" t="str">
        <f t="shared" si="10"/>
        <v/>
      </c>
      <c r="Y33" s="38" t="str">
        <f t="shared" si="11"/>
        <v/>
      </c>
      <c r="Z33" s="38" t="str">
        <f t="shared" si="12"/>
        <v/>
      </c>
      <c r="AA33" s="38" t="str">
        <f t="shared" si="20"/>
        <v/>
      </c>
      <c r="AB33" s="38" t="str">
        <f t="shared" si="0"/>
        <v/>
      </c>
      <c r="AC33" s="38" t="str">
        <f t="shared" si="14"/>
        <v/>
      </c>
      <c r="AD33" s="38" t="str">
        <f t="shared" si="15"/>
        <v/>
      </c>
      <c r="AE33" s="38" t="str">
        <f t="shared" si="16"/>
        <v/>
      </c>
      <c r="AF33" s="38" t="str">
        <f t="shared" si="17"/>
        <v/>
      </c>
      <c r="AG33" s="38" t="str">
        <f t="shared" si="18"/>
        <v/>
      </c>
      <c r="AH33" s="38" t="str">
        <f t="shared" si="19"/>
        <v/>
      </c>
      <c r="AI33" s="38" t="str">
        <f>TRIM(_xlfn.TEXTJOIN(CHAR(9),TRUE,B33:AA33))</f>
        <v>#Wall 2</v>
      </c>
      <c r="AT33" s="38" t="str">
        <f t="shared" si="1"/>
        <v/>
      </c>
    </row>
    <row r="34" spans="1:46" x14ac:dyDescent="0.3">
      <c r="A34" s="66" t="s">
        <v>21</v>
      </c>
      <c r="B34" s="66" t="s">
        <v>48</v>
      </c>
      <c r="C34" s="68">
        <v>25</v>
      </c>
      <c r="D34" s="68">
        <v>19</v>
      </c>
      <c r="E34" s="68">
        <v>20</v>
      </c>
      <c r="F34" s="68">
        <v>126</v>
      </c>
      <c r="G34" s="68">
        <v>0</v>
      </c>
      <c r="H34" s="68">
        <v>1</v>
      </c>
      <c r="I34" s="68">
        <v>0</v>
      </c>
      <c r="J34" s="68">
        <v>1</v>
      </c>
      <c r="K34" s="68">
        <v>0</v>
      </c>
      <c r="L34" s="68">
        <v>0</v>
      </c>
      <c r="M34" s="66" t="str">
        <f t="shared" si="2"/>
        <v>-spandrel</v>
      </c>
      <c r="N34" s="69">
        <v>1.2</v>
      </c>
      <c r="O34" s="69">
        <v>0.65</v>
      </c>
      <c r="P34" s="69">
        <v>0.55000000000000004</v>
      </c>
      <c r="Q34" s="66" t="str">
        <f t="shared" si="3"/>
        <v>$Eelement</v>
      </c>
      <c r="R34" s="66" t="str">
        <f t="shared" si="4"/>
        <v>$Gs</v>
      </c>
      <c r="S34" s="66" t="str">
        <f t="shared" si="5"/>
        <v>$fc</v>
      </c>
      <c r="T34" s="66" t="str">
        <f t="shared" si="6"/>
        <v>$mus</v>
      </c>
      <c r="U34" s="66" t="str">
        <f t="shared" si="7"/>
        <v>$coh</v>
      </c>
      <c r="V34" s="66" t="str">
        <f t="shared" si="8"/>
        <v>$Gc</v>
      </c>
      <c r="W34" s="66" t="str">
        <f t="shared" si="9"/>
        <v>$dropDrift</v>
      </c>
      <c r="X34" s="66" t="str">
        <f t="shared" si="10"/>
        <v>$muR</v>
      </c>
      <c r="Y34" s="66" t="str">
        <f t="shared" si="11"/>
        <v>-density</v>
      </c>
      <c r="Z34" s="66" t="str">
        <f t="shared" si="12"/>
        <v>$rho</v>
      </c>
      <c r="AA34" s="66" t="str">
        <f t="shared" si="20"/>
        <v>-pDelta</v>
      </c>
      <c r="AB34" s="66" t="str">
        <f t="shared" si="0"/>
        <v>-secantDamping</v>
      </c>
      <c r="AC34" s="66" t="str">
        <f t="shared" si="14"/>
        <v>-driftS</v>
      </c>
      <c r="AD34" s="66" t="str">
        <f t="shared" si="15"/>
        <v>$driftS</v>
      </c>
      <c r="AE34" s="66" t="str">
        <f t="shared" si="16"/>
        <v>0.8</v>
      </c>
      <c r="AF34" s="66" t="str">
        <f t="shared" si="17"/>
        <v>-driftF</v>
      </c>
      <c r="AG34" s="66" t="str">
        <f t="shared" si="18"/>
        <v>$driftF</v>
      </c>
      <c r="AH34" s="66" t="str">
        <f t="shared" si="19"/>
        <v>0.0</v>
      </c>
      <c r="AI34" s="66" t="str" cm="1">
        <f t="array" ref="AI34">TRIM(_xlfn.TEXTJOIN(CHAR(9),TRUE,B34:M34, TEXT(ROUND(N34:P34,3),"0.000"),Q34:AD34,TEXT(ROUND(AE34,1),"0.0"),AF34:AG34,TEXT(ROUND(AH34,1),"0.0")))</f>
        <v>element Macroelement3d	25	19	20	126	0	1	0	1	0	0	-spandrel	1.200	0.650	0.550	$Eelement	$Gs	$fc	$mus	$coh	$Gc	$dropDrift	$muR	-density	$rho	-pDelta	-secantDamping	-driftS	$driftS	0.8	-driftF	$driftF	0.0</v>
      </c>
      <c r="AT34">
        <f t="shared" si="1"/>
        <v>0.42900000000000005</v>
      </c>
    </row>
    <row r="35" spans="1:46" x14ac:dyDescent="0.3">
      <c r="A35" s="66" t="s">
        <v>21</v>
      </c>
      <c r="B35" s="66" t="s">
        <v>48</v>
      </c>
      <c r="C35" s="68">
        <v>26</v>
      </c>
      <c r="D35" s="68">
        <v>20</v>
      </c>
      <c r="E35" s="68">
        <v>21</v>
      </c>
      <c r="F35" s="68">
        <v>127</v>
      </c>
      <c r="G35" s="68">
        <v>0</v>
      </c>
      <c r="H35" s="68">
        <v>1</v>
      </c>
      <c r="I35" s="68">
        <v>0</v>
      </c>
      <c r="J35" s="68">
        <v>1</v>
      </c>
      <c r="K35" s="68">
        <v>0</v>
      </c>
      <c r="L35" s="68">
        <v>0</v>
      </c>
      <c r="M35" s="66" t="str">
        <f t="shared" si="2"/>
        <v>-spandrel</v>
      </c>
      <c r="N35" s="69">
        <v>1.2</v>
      </c>
      <c r="O35" s="69">
        <v>0.65</v>
      </c>
      <c r="P35" s="69">
        <v>0.55000000000000004</v>
      </c>
      <c r="Q35" s="66" t="str">
        <f t="shared" si="3"/>
        <v>$Eelement</v>
      </c>
      <c r="R35" s="66" t="str">
        <f t="shared" si="4"/>
        <v>$Gs</v>
      </c>
      <c r="S35" s="66" t="str">
        <f t="shared" si="5"/>
        <v>$fc</v>
      </c>
      <c r="T35" s="66" t="str">
        <f t="shared" si="6"/>
        <v>$mus</v>
      </c>
      <c r="U35" s="66" t="str">
        <f t="shared" si="7"/>
        <v>$coh</v>
      </c>
      <c r="V35" s="66" t="str">
        <f t="shared" si="8"/>
        <v>$Gc</v>
      </c>
      <c r="W35" s="66" t="str">
        <f t="shared" si="9"/>
        <v>$dropDrift</v>
      </c>
      <c r="X35" s="66" t="str">
        <f t="shared" si="10"/>
        <v>$muR</v>
      </c>
      <c r="Y35" s="66" t="str">
        <f t="shared" si="11"/>
        <v>-density</v>
      </c>
      <c r="Z35" s="66" t="str">
        <f t="shared" si="12"/>
        <v>$rho</v>
      </c>
      <c r="AA35" s="66" t="str">
        <f t="shared" si="20"/>
        <v>-pDelta</v>
      </c>
      <c r="AB35" s="66" t="str">
        <f t="shared" si="0"/>
        <v>-secantDamping</v>
      </c>
      <c r="AC35" s="66" t="str">
        <f t="shared" si="14"/>
        <v>-driftS</v>
      </c>
      <c r="AD35" s="66" t="str">
        <f t="shared" si="15"/>
        <v>$driftS</v>
      </c>
      <c r="AE35" s="66" t="str">
        <f t="shared" si="16"/>
        <v>0.8</v>
      </c>
      <c r="AF35" s="66" t="str">
        <f t="shared" si="17"/>
        <v>-driftF</v>
      </c>
      <c r="AG35" s="66" t="str">
        <f t="shared" si="18"/>
        <v>$driftF</v>
      </c>
      <c r="AH35" s="66" t="str">
        <f t="shared" si="19"/>
        <v>0.0</v>
      </c>
      <c r="AI35" s="66" t="str" cm="1">
        <f t="array" ref="AI35">TRIM(_xlfn.TEXTJOIN(CHAR(9),TRUE,B35:M35, TEXT(ROUND(N35:P35,3),"0.000"),Q35:AD35,TEXT(ROUND(AE35,1),"0.0"),AF35:AG35,TEXT(ROUND(AH35,1),"0.0")))</f>
        <v>element Macroelement3d	26	20	21	127	0	1	0	1	0	0	-spandrel	1.200	0.650	0.550	$Eelement	$Gs	$fc	$mus	$coh	$Gc	$dropDrift	$muR	-density	$rho	-pDelta	-secantDamping	-driftS	$driftS	0.8	-driftF	$driftF	0.0</v>
      </c>
      <c r="AT35">
        <f t="shared" si="1"/>
        <v>0.42900000000000005</v>
      </c>
    </row>
    <row r="36" spans="1:46" x14ac:dyDescent="0.3">
      <c r="A36" s="66" t="s">
        <v>21</v>
      </c>
      <c r="B36" s="66" t="s">
        <v>48</v>
      </c>
      <c r="C36" s="68">
        <v>28</v>
      </c>
      <c r="D36" s="68">
        <v>22</v>
      </c>
      <c r="E36" s="68">
        <v>19</v>
      </c>
      <c r="F36" s="68">
        <v>128</v>
      </c>
      <c r="G36" s="68">
        <v>0</v>
      </c>
      <c r="H36" s="68">
        <v>0</v>
      </c>
      <c r="I36" s="68">
        <v>1</v>
      </c>
      <c r="J36" s="68">
        <v>1</v>
      </c>
      <c r="K36" s="68">
        <v>0</v>
      </c>
      <c r="L36" s="68">
        <v>0</v>
      </c>
      <c r="M36" s="66" t="str">
        <f t="shared" si="2"/>
        <v>-pier</v>
      </c>
      <c r="N36" s="69">
        <v>1.7</v>
      </c>
      <c r="O36" s="69">
        <v>2.2799999999999998</v>
      </c>
      <c r="P36" s="69">
        <v>0.55000000000000004</v>
      </c>
      <c r="Q36" s="66" t="str">
        <f t="shared" si="3"/>
        <v>$Eelement</v>
      </c>
      <c r="R36" s="66" t="str">
        <f t="shared" si="4"/>
        <v>$Gs</v>
      </c>
      <c r="S36" s="66" t="str">
        <f t="shared" si="5"/>
        <v>$fc</v>
      </c>
      <c r="T36" s="66" t="str">
        <f t="shared" si="6"/>
        <v>$mus</v>
      </c>
      <c r="U36" s="66" t="str">
        <f t="shared" si="7"/>
        <v>$coh</v>
      </c>
      <c r="V36" s="66" t="str">
        <f t="shared" si="8"/>
        <v>$Gc</v>
      </c>
      <c r="W36" s="66" t="str">
        <f t="shared" si="9"/>
        <v>$dropDrift</v>
      </c>
      <c r="X36" s="66" t="str">
        <f t="shared" si="10"/>
        <v>$muR</v>
      </c>
      <c r="Y36" s="66" t="str">
        <f t="shared" si="11"/>
        <v>-density</v>
      </c>
      <c r="Z36" s="66" t="str">
        <f t="shared" si="12"/>
        <v>$rho</v>
      </c>
      <c r="AA36" s="66" t="str">
        <f t="shared" si="20"/>
        <v>-pDelta</v>
      </c>
      <c r="AB36" s="66" t="str">
        <f t="shared" si="0"/>
        <v>-secantDamping</v>
      </c>
      <c r="AC36" s="66" t="str">
        <f t="shared" si="14"/>
        <v>-driftS</v>
      </c>
      <c r="AD36" s="66" t="str">
        <f t="shared" si="15"/>
        <v>$driftS</v>
      </c>
      <c r="AE36" s="66" t="str">
        <f t="shared" si="16"/>
        <v>0.8</v>
      </c>
      <c r="AF36" s="66" t="str">
        <f t="shared" si="17"/>
        <v>-driftF</v>
      </c>
      <c r="AG36" s="66" t="str">
        <f t="shared" si="18"/>
        <v>$driftF</v>
      </c>
      <c r="AH36" s="66" t="str">
        <f t="shared" si="19"/>
        <v>0.0</v>
      </c>
      <c r="AI36" s="66" t="str" cm="1">
        <f t="array" ref="AI36">TRIM(_xlfn.TEXTJOIN(CHAR(9),TRUE,B36:M36, TEXT(ROUND(N36:P36,3),"0.000"),Q36:AD36,TEXT(ROUND(AE36,1),"0.0"),AF36:AG36,TEXT(ROUND(AH36,1),"0.0")))</f>
        <v>element Macroelement3d	28	22	19	128	0	0	1	1	0	0	-pier	1.700	2.280	0.550	$Eelement	$Gs	$fc	$mus	$coh	$Gc	$dropDrift	$muR	-density	$rho	-pDelta	-secantDamping	-driftS	$driftS	0.8	-driftF	$driftF	0.0</v>
      </c>
      <c r="AT36">
        <f t="shared" si="1"/>
        <v>2.1317999999999997</v>
      </c>
    </row>
    <row r="37" spans="1:46" x14ac:dyDescent="0.3">
      <c r="A37" s="66" t="s">
        <v>21</v>
      </c>
      <c r="B37" s="66" t="s">
        <v>48</v>
      </c>
      <c r="C37" s="68">
        <v>29</v>
      </c>
      <c r="D37" s="68">
        <v>23</v>
      </c>
      <c r="E37" s="68">
        <v>20</v>
      </c>
      <c r="F37" s="68">
        <v>129</v>
      </c>
      <c r="G37" s="68">
        <v>0</v>
      </c>
      <c r="H37" s="68">
        <v>0</v>
      </c>
      <c r="I37" s="68">
        <v>1</v>
      </c>
      <c r="J37" s="68">
        <v>1</v>
      </c>
      <c r="K37" s="68">
        <v>0</v>
      </c>
      <c r="L37" s="68">
        <v>0</v>
      </c>
      <c r="M37" s="66" t="str">
        <f t="shared" si="2"/>
        <v>-pier</v>
      </c>
      <c r="N37" s="69">
        <v>1.7</v>
      </c>
      <c r="O37" s="69">
        <v>4.4000000000000004</v>
      </c>
      <c r="P37" s="69">
        <v>0.55000000000000004</v>
      </c>
      <c r="Q37" s="66" t="str">
        <f t="shared" si="3"/>
        <v>$Eelement</v>
      </c>
      <c r="R37" s="66" t="str">
        <f t="shared" si="4"/>
        <v>$Gs</v>
      </c>
      <c r="S37" s="66" t="str">
        <f t="shared" si="5"/>
        <v>$fc</v>
      </c>
      <c r="T37" s="66" t="str">
        <f t="shared" si="6"/>
        <v>$mus</v>
      </c>
      <c r="U37" s="66" t="str">
        <f t="shared" si="7"/>
        <v>$coh</v>
      </c>
      <c r="V37" s="66" t="str">
        <f t="shared" si="8"/>
        <v>$Gc</v>
      </c>
      <c r="W37" s="66" t="str">
        <f t="shared" si="9"/>
        <v>$dropDrift</v>
      </c>
      <c r="X37" s="66" t="str">
        <f t="shared" si="10"/>
        <v>$muR</v>
      </c>
      <c r="Y37" s="66" t="str">
        <f t="shared" si="11"/>
        <v>-density</v>
      </c>
      <c r="Z37" s="66" t="str">
        <f t="shared" si="12"/>
        <v>$rho</v>
      </c>
      <c r="AA37" s="66" t="str">
        <f t="shared" si="20"/>
        <v>-pDelta</v>
      </c>
      <c r="AB37" s="66" t="str">
        <f t="shared" si="0"/>
        <v>-secantDamping</v>
      </c>
      <c r="AC37" s="66" t="str">
        <f t="shared" si="14"/>
        <v>-driftS</v>
      </c>
      <c r="AD37" s="66" t="str">
        <f t="shared" si="15"/>
        <v>$driftS</v>
      </c>
      <c r="AE37" s="66" t="str">
        <f t="shared" si="16"/>
        <v>0.8</v>
      </c>
      <c r="AF37" s="66" t="str">
        <f t="shared" si="17"/>
        <v>-driftF</v>
      </c>
      <c r="AG37" s="66" t="str">
        <f t="shared" si="18"/>
        <v>$driftF</v>
      </c>
      <c r="AH37" s="66" t="str">
        <f t="shared" si="19"/>
        <v>0.0</v>
      </c>
      <c r="AI37" s="66" t="str" cm="1">
        <f t="array" ref="AI37">TRIM(_xlfn.TEXTJOIN(CHAR(9),TRUE,B37:M37, TEXT(ROUND(N37:P37,3),"0.000"),Q37:AD37,TEXT(ROUND(AE37,1),"0.0"),AF37:AG37,TEXT(ROUND(AH37,1),"0.0")))</f>
        <v>element Macroelement3d	29	23	20	129	0	0	1	1	0	0	-pier	1.700	4.400	0.550	$Eelement	$Gs	$fc	$mus	$coh	$Gc	$dropDrift	$muR	-density	$rho	-pDelta	-secantDamping	-driftS	$driftS	0.8	-driftF	$driftF	0.0</v>
      </c>
      <c r="AT37">
        <f t="shared" si="1"/>
        <v>4.1140000000000008</v>
      </c>
    </row>
    <row r="38" spans="1:46" x14ac:dyDescent="0.3">
      <c r="A38" s="66" t="s">
        <v>21</v>
      </c>
      <c r="B38" s="66" t="s">
        <v>48</v>
      </c>
      <c r="C38" s="68">
        <v>30</v>
      </c>
      <c r="D38" s="68">
        <v>24</v>
      </c>
      <c r="E38" s="68">
        <v>21</v>
      </c>
      <c r="F38" s="68">
        <v>130</v>
      </c>
      <c r="G38" s="68">
        <v>0</v>
      </c>
      <c r="H38" s="68">
        <v>0</v>
      </c>
      <c r="I38" s="68">
        <v>1</v>
      </c>
      <c r="J38" s="68">
        <v>1</v>
      </c>
      <c r="K38" s="68">
        <v>0</v>
      </c>
      <c r="L38" s="68">
        <v>0</v>
      </c>
      <c r="M38" s="66" t="str">
        <f t="shared" si="2"/>
        <v>-pier</v>
      </c>
      <c r="N38" s="69">
        <v>1.7</v>
      </c>
      <c r="O38" s="69">
        <v>2.2799999999999998</v>
      </c>
      <c r="P38" s="69">
        <v>0.55000000000000004</v>
      </c>
      <c r="Q38" s="66" t="str">
        <f t="shared" si="3"/>
        <v>$Eelement</v>
      </c>
      <c r="R38" s="66" t="str">
        <f t="shared" si="4"/>
        <v>$Gs</v>
      </c>
      <c r="S38" s="66" t="str">
        <f t="shared" si="5"/>
        <v>$fc</v>
      </c>
      <c r="T38" s="66" t="str">
        <f t="shared" si="6"/>
        <v>$mus</v>
      </c>
      <c r="U38" s="66" t="str">
        <f t="shared" si="7"/>
        <v>$coh</v>
      </c>
      <c r="V38" s="66" t="str">
        <f t="shared" si="8"/>
        <v>$Gc</v>
      </c>
      <c r="W38" s="66" t="str">
        <f t="shared" si="9"/>
        <v>$dropDrift</v>
      </c>
      <c r="X38" s="66" t="str">
        <f t="shared" si="10"/>
        <v>$muR</v>
      </c>
      <c r="Y38" s="66" t="str">
        <f t="shared" si="11"/>
        <v>-density</v>
      </c>
      <c r="Z38" s="66" t="str">
        <f t="shared" si="12"/>
        <v>$rho</v>
      </c>
      <c r="AA38" s="66" t="str">
        <f t="shared" si="20"/>
        <v>-pDelta</v>
      </c>
      <c r="AB38" s="66" t="str">
        <f t="shared" si="0"/>
        <v>-secantDamping</v>
      </c>
      <c r="AC38" s="66" t="str">
        <f t="shared" si="14"/>
        <v>-driftS</v>
      </c>
      <c r="AD38" s="66" t="str">
        <f t="shared" si="15"/>
        <v>$driftS</v>
      </c>
      <c r="AE38" s="66" t="str">
        <f t="shared" si="16"/>
        <v>0.8</v>
      </c>
      <c r="AF38" s="66" t="str">
        <f t="shared" si="17"/>
        <v>-driftF</v>
      </c>
      <c r="AG38" s="66" t="str">
        <f t="shared" si="18"/>
        <v>$driftF</v>
      </c>
      <c r="AH38" s="66" t="str">
        <f t="shared" si="19"/>
        <v>0.0</v>
      </c>
      <c r="AI38" s="66" t="str" cm="1">
        <f t="array" ref="AI38">TRIM(_xlfn.TEXTJOIN(CHAR(9),TRUE,B38:M38, TEXT(ROUND(N38:P38,3),"0.000"),Q38:AD38,TEXT(ROUND(AE38,1),"0.0"),AF38:AG38,TEXT(ROUND(AH38,1),"0.0")))</f>
        <v>element Macroelement3d	30	24	21	130	0	0	1	1	0	0	-pier	1.700	2.280	0.550	$Eelement	$Gs	$fc	$mus	$coh	$Gc	$dropDrift	$muR	-density	$rho	-pDelta	-secantDamping	-driftS	$driftS	0.8	-driftF	$driftF	0.0</v>
      </c>
      <c r="AT38">
        <f t="shared" si="1"/>
        <v>2.1317999999999997</v>
      </c>
    </row>
    <row r="39" spans="1:46" x14ac:dyDescent="0.3">
      <c r="A39" s="66" t="s">
        <v>21</v>
      </c>
      <c r="B39" s="66" t="s">
        <v>48</v>
      </c>
      <c r="C39" s="68">
        <v>31</v>
      </c>
      <c r="D39" s="68">
        <v>22</v>
      </c>
      <c r="E39" s="68">
        <v>23</v>
      </c>
      <c r="F39" s="68">
        <v>131</v>
      </c>
      <c r="G39" s="68">
        <v>0</v>
      </c>
      <c r="H39" s="68">
        <v>1</v>
      </c>
      <c r="I39" s="68">
        <v>0</v>
      </c>
      <c r="J39" s="68">
        <v>1</v>
      </c>
      <c r="K39" s="68">
        <v>0</v>
      </c>
      <c r="L39" s="68">
        <v>0</v>
      </c>
      <c r="M39" s="66" t="str">
        <f t="shared" si="2"/>
        <v>-spandrel</v>
      </c>
      <c r="N39" s="69">
        <v>1.2</v>
      </c>
      <c r="O39" s="69">
        <v>1.55</v>
      </c>
      <c r="P39" s="69">
        <v>0.6</v>
      </c>
      <c r="Q39" s="66" t="str">
        <f t="shared" si="3"/>
        <v>$Eelement</v>
      </c>
      <c r="R39" s="66" t="str">
        <f t="shared" si="4"/>
        <v>$Gs</v>
      </c>
      <c r="S39" s="66" t="str">
        <f t="shared" si="5"/>
        <v>$fc</v>
      </c>
      <c r="T39" s="66" t="str">
        <f t="shared" si="6"/>
        <v>$mus</v>
      </c>
      <c r="U39" s="66" t="str">
        <f t="shared" si="7"/>
        <v>$coh</v>
      </c>
      <c r="V39" s="66" t="str">
        <f t="shared" si="8"/>
        <v>$Gc</v>
      </c>
      <c r="W39" s="66" t="str">
        <f t="shared" si="9"/>
        <v>$dropDrift</v>
      </c>
      <c r="X39" s="66" t="str">
        <f t="shared" si="10"/>
        <v>$muR</v>
      </c>
      <c r="Y39" s="66" t="str">
        <f t="shared" si="11"/>
        <v>-density</v>
      </c>
      <c r="Z39" s="66" t="str">
        <f t="shared" si="12"/>
        <v>$rho</v>
      </c>
      <c r="AA39" s="66" t="str">
        <f t="shared" si="20"/>
        <v>-pDelta</v>
      </c>
      <c r="AB39" s="66" t="str">
        <f t="shared" si="0"/>
        <v>-secantDamping</v>
      </c>
      <c r="AC39" s="66" t="str">
        <f t="shared" si="14"/>
        <v>-driftS</v>
      </c>
      <c r="AD39" s="66" t="str">
        <f t="shared" si="15"/>
        <v>$driftS</v>
      </c>
      <c r="AE39" s="66" t="str">
        <f t="shared" si="16"/>
        <v>0.8</v>
      </c>
      <c r="AF39" s="66" t="str">
        <f t="shared" si="17"/>
        <v>-driftF</v>
      </c>
      <c r="AG39" s="66" t="str">
        <f t="shared" si="18"/>
        <v>$driftF</v>
      </c>
      <c r="AH39" s="66" t="str">
        <f t="shared" si="19"/>
        <v>0.0</v>
      </c>
      <c r="AI39" s="66" t="str" cm="1">
        <f t="array" ref="AI39">TRIM(_xlfn.TEXTJOIN(CHAR(9),TRUE,B39:M39, TEXT(ROUND(N39:P39,3),"0.000"),Q39:AD39,TEXT(ROUND(AE39,1),"0.0"),AF39:AG39,TEXT(ROUND(AH39,1),"0.0")))</f>
        <v>element Macroelement3d	31	22	23	131	0	1	0	1	0	0	-spandrel	1.200	1.550	0.600	$Eelement	$Gs	$fc	$mus	$coh	$Gc	$dropDrift	$muR	-density	$rho	-pDelta	-secantDamping	-driftS	$driftS	0.8	-driftF	$driftF	0.0</v>
      </c>
      <c r="AT39">
        <f t="shared" si="1"/>
        <v>1.1159999999999999</v>
      </c>
    </row>
    <row r="40" spans="1:46" x14ac:dyDescent="0.3">
      <c r="A40" s="66" t="s">
        <v>21</v>
      </c>
      <c r="B40" s="66" t="s">
        <v>48</v>
      </c>
      <c r="C40" s="68">
        <v>32</v>
      </c>
      <c r="D40" s="68">
        <v>23</v>
      </c>
      <c r="E40" s="68">
        <v>24</v>
      </c>
      <c r="F40" s="68">
        <v>132</v>
      </c>
      <c r="G40" s="68">
        <v>0</v>
      </c>
      <c r="H40" s="68">
        <v>1</v>
      </c>
      <c r="I40" s="68">
        <v>0</v>
      </c>
      <c r="J40" s="68">
        <v>1</v>
      </c>
      <c r="K40" s="68">
        <v>0</v>
      </c>
      <c r="L40" s="68">
        <v>0</v>
      </c>
      <c r="M40" s="66" t="str">
        <f t="shared" si="2"/>
        <v>-spandrel</v>
      </c>
      <c r="N40" s="69">
        <v>1.2</v>
      </c>
      <c r="O40" s="69">
        <v>1.55</v>
      </c>
      <c r="P40" s="69">
        <v>0.6</v>
      </c>
      <c r="Q40" s="66" t="str">
        <f t="shared" si="3"/>
        <v>$Eelement</v>
      </c>
      <c r="R40" s="66" t="str">
        <f t="shared" si="4"/>
        <v>$Gs</v>
      </c>
      <c r="S40" s="66" t="str">
        <f t="shared" si="5"/>
        <v>$fc</v>
      </c>
      <c r="T40" s="66" t="str">
        <f t="shared" si="6"/>
        <v>$mus</v>
      </c>
      <c r="U40" s="66" t="str">
        <f t="shared" si="7"/>
        <v>$coh</v>
      </c>
      <c r="V40" s="66" t="str">
        <f t="shared" si="8"/>
        <v>$Gc</v>
      </c>
      <c r="W40" s="66" t="str">
        <f t="shared" si="9"/>
        <v>$dropDrift</v>
      </c>
      <c r="X40" s="66" t="str">
        <f t="shared" si="10"/>
        <v>$muR</v>
      </c>
      <c r="Y40" s="66" t="str">
        <f t="shared" si="11"/>
        <v>-density</v>
      </c>
      <c r="Z40" s="66" t="str">
        <f t="shared" si="12"/>
        <v>$rho</v>
      </c>
      <c r="AA40" s="66" t="str">
        <f t="shared" si="20"/>
        <v>-pDelta</v>
      </c>
      <c r="AB40" s="66" t="str">
        <f t="shared" si="0"/>
        <v>-secantDamping</v>
      </c>
      <c r="AC40" s="66" t="str">
        <f t="shared" si="14"/>
        <v>-driftS</v>
      </c>
      <c r="AD40" s="66" t="str">
        <f t="shared" si="15"/>
        <v>$driftS</v>
      </c>
      <c r="AE40" s="66" t="str">
        <f t="shared" si="16"/>
        <v>0.8</v>
      </c>
      <c r="AF40" s="66" t="str">
        <f t="shared" si="17"/>
        <v>-driftF</v>
      </c>
      <c r="AG40" s="66" t="str">
        <f t="shared" si="18"/>
        <v>$driftF</v>
      </c>
      <c r="AH40" s="66" t="str">
        <f t="shared" si="19"/>
        <v>0.0</v>
      </c>
      <c r="AI40" s="66" t="str" cm="1">
        <f t="array" ref="AI40">TRIM(_xlfn.TEXTJOIN(CHAR(9),TRUE,B40:M40, TEXT(ROUND(N40:P40,3),"0.000"),Q40:AD40,TEXT(ROUND(AE40,1),"0.0"),AF40:AG40,TEXT(ROUND(AH40,1),"0.0")))</f>
        <v>element Macroelement3d	32	23	24	132	0	1	0	1	0	0	-spandrel	1.200	1.550	0.600	$Eelement	$Gs	$fc	$mus	$coh	$Gc	$dropDrift	$muR	-density	$rho	-pDelta	-secantDamping	-driftS	$driftS	0.8	-driftF	$driftF	0.0</v>
      </c>
      <c r="AT40">
        <f t="shared" si="1"/>
        <v>1.1159999999999999</v>
      </c>
    </row>
    <row r="41" spans="1:46" x14ac:dyDescent="0.3">
      <c r="A41" s="66" t="s">
        <v>21</v>
      </c>
      <c r="B41" s="66" t="s">
        <v>48</v>
      </c>
      <c r="C41" s="68">
        <v>34</v>
      </c>
      <c r="D41" s="68">
        <v>25</v>
      </c>
      <c r="E41" s="68">
        <v>22</v>
      </c>
      <c r="F41" s="68">
        <v>133</v>
      </c>
      <c r="G41" s="68">
        <v>0</v>
      </c>
      <c r="H41" s="68">
        <v>0</v>
      </c>
      <c r="I41" s="68">
        <v>1</v>
      </c>
      <c r="J41" s="68">
        <v>1</v>
      </c>
      <c r="K41" s="68">
        <v>0</v>
      </c>
      <c r="L41" s="68">
        <v>0</v>
      </c>
      <c r="M41" s="66" t="str">
        <f t="shared" si="2"/>
        <v>-pier</v>
      </c>
      <c r="N41" s="69">
        <v>2.2000000000000002</v>
      </c>
      <c r="O41" s="69">
        <v>2.2799999999999998</v>
      </c>
      <c r="P41" s="69">
        <v>0.7</v>
      </c>
      <c r="Q41" s="66" t="str">
        <f t="shared" si="3"/>
        <v>$Eelement</v>
      </c>
      <c r="R41" s="66" t="str">
        <f t="shared" si="4"/>
        <v>$Gs</v>
      </c>
      <c r="S41" s="66" t="str">
        <f t="shared" si="5"/>
        <v>$fc</v>
      </c>
      <c r="T41" s="66" t="str">
        <f t="shared" si="6"/>
        <v>$mus</v>
      </c>
      <c r="U41" s="66" t="str">
        <f t="shared" si="7"/>
        <v>$coh</v>
      </c>
      <c r="V41" s="66" t="str">
        <f t="shared" si="8"/>
        <v>$Gc</v>
      </c>
      <c r="W41" s="66" t="str">
        <f t="shared" si="9"/>
        <v>$dropDrift</v>
      </c>
      <c r="X41" s="66" t="str">
        <f t="shared" si="10"/>
        <v>$muR</v>
      </c>
      <c r="Y41" s="66" t="str">
        <f t="shared" si="11"/>
        <v>-density</v>
      </c>
      <c r="Z41" s="66" t="str">
        <f t="shared" si="12"/>
        <v>$rho</v>
      </c>
      <c r="AA41" s="66" t="str">
        <f t="shared" si="20"/>
        <v>-pDelta</v>
      </c>
      <c r="AB41" s="66" t="str">
        <f t="shared" ref="AB41:AB72" si="21">IF(W41="","",$AB$7)</f>
        <v>-secantDamping</v>
      </c>
      <c r="AC41" s="66" t="str">
        <f t="shared" si="14"/>
        <v>-driftS</v>
      </c>
      <c r="AD41" s="66" t="str">
        <f t="shared" si="15"/>
        <v>$driftS</v>
      </c>
      <c r="AE41" s="66" t="str">
        <f t="shared" si="16"/>
        <v>0.8</v>
      </c>
      <c r="AF41" s="66" t="str">
        <f t="shared" si="17"/>
        <v>-driftF</v>
      </c>
      <c r="AG41" s="66" t="str">
        <f t="shared" si="18"/>
        <v>$driftF</v>
      </c>
      <c r="AH41" s="66" t="str">
        <f t="shared" si="19"/>
        <v>0.0</v>
      </c>
      <c r="AI41" s="66" t="str" cm="1">
        <f t="array" ref="AI41">TRIM(_xlfn.TEXTJOIN(CHAR(9),TRUE,B41:M41, TEXT(ROUND(N41:P41,3),"0.000"),Q41:AD41,TEXT(ROUND(AE41,1),"0.0"),AF41:AG41,TEXT(ROUND(AH41,1),"0.0")))</f>
        <v>element Macroelement3d	34	25	22	133	0	0	1	1	0	0	-pier	2.200	2.280	0.700	$Eelement	$Gs	$fc	$mus	$coh	$Gc	$dropDrift	$muR	-density	$rho	-pDelta	-secantDamping	-driftS	$driftS	0.8	-driftF	$driftF	0.0</v>
      </c>
      <c r="AT41">
        <f t="shared" ref="AT41:AT72" si="22">IF(C41="","",N41*O41*P41)</f>
        <v>3.5111999999999997</v>
      </c>
    </row>
    <row r="42" spans="1:46" x14ac:dyDescent="0.3">
      <c r="A42" s="66" t="s">
        <v>21</v>
      </c>
      <c r="B42" s="66" t="s">
        <v>48</v>
      </c>
      <c r="C42" s="68">
        <v>35</v>
      </c>
      <c r="D42" s="68">
        <v>26</v>
      </c>
      <c r="E42" s="68">
        <v>23</v>
      </c>
      <c r="F42" s="68">
        <v>134</v>
      </c>
      <c r="G42" s="68">
        <v>0</v>
      </c>
      <c r="H42" s="68">
        <v>0</v>
      </c>
      <c r="I42" s="68">
        <v>1</v>
      </c>
      <c r="J42" s="68">
        <v>1</v>
      </c>
      <c r="K42" s="68">
        <v>0</v>
      </c>
      <c r="L42" s="68">
        <v>0</v>
      </c>
      <c r="M42" s="66" t="str">
        <f t="shared" si="2"/>
        <v>-pier</v>
      </c>
      <c r="N42" s="69">
        <v>2.2000000000000002</v>
      </c>
      <c r="O42" s="69">
        <v>4.3</v>
      </c>
      <c r="P42" s="69">
        <v>0.7</v>
      </c>
      <c r="Q42" s="66" t="str">
        <f t="shared" si="3"/>
        <v>$Eelement</v>
      </c>
      <c r="R42" s="66" t="str">
        <f t="shared" si="4"/>
        <v>$Gs</v>
      </c>
      <c r="S42" s="66" t="str">
        <f t="shared" si="5"/>
        <v>$fc</v>
      </c>
      <c r="T42" s="66" t="str">
        <f t="shared" si="6"/>
        <v>$mus</v>
      </c>
      <c r="U42" s="66" t="str">
        <f t="shared" si="7"/>
        <v>$coh</v>
      </c>
      <c r="V42" s="66" t="str">
        <f t="shared" si="8"/>
        <v>$Gc</v>
      </c>
      <c r="W42" s="66" t="str">
        <f t="shared" si="9"/>
        <v>$dropDrift</v>
      </c>
      <c r="X42" s="66" t="str">
        <f t="shared" si="10"/>
        <v>$muR</v>
      </c>
      <c r="Y42" s="66" t="str">
        <f t="shared" si="11"/>
        <v>-density</v>
      </c>
      <c r="Z42" s="66" t="str">
        <f t="shared" si="12"/>
        <v>$rho</v>
      </c>
      <c r="AA42" s="66" t="str">
        <f t="shared" si="20"/>
        <v>-pDelta</v>
      </c>
      <c r="AB42" s="66" t="str">
        <f t="shared" si="21"/>
        <v>-secantDamping</v>
      </c>
      <c r="AC42" s="66" t="str">
        <f t="shared" si="14"/>
        <v>-driftS</v>
      </c>
      <c r="AD42" s="66" t="str">
        <f t="shared" si="15"/>
        <v>$driftS</v>
      </c>
      <c r="AE42" s="66" t="str">
        <f t="shared" si="16"/>
        <v>0.8</v>
      </c>
      <c r="AF42" s="66" t="str">
        <f t="shared" si="17"/>
        <v>-driftF</v>
      </c>
      <c r="AG42" s="66" t="str">
        <f t="shared" si="18"/>
        <v>$driftF</v>
      </c>
      <c r="AH42" s="66" t="str">
        <f t="shared" si="19"/>
        <v>0.0</v>
      </c>
      <c r="AI42" s="66" t="str" cm="1">
        <f t="array" ref="AI42">TRIM(_xlfn.TEXTJOIN(CHAR(9),TRUE,B42:M42, TEXT(ROUND(N42:P42,3),"0.000"),Q42:AD42,TEXT(ROUND(AE42,1),"0.0"),AF42:AG42,TEXT(ROUND(AH42,1),"0.0")))</f>
        <v>element Macroelement3d	35	26	23	134	0	0	1	1	0	0	-pier	2.200	4.300	0.700	$Eelement	$Gs	$fc	$mus	$coh	$Gc	$dropDrift	$muR	-density	$rho	-pDelta	-secantDamping	-driftS	$driftS	0.8	-driftF	$driftF	0.0</v>
      </c>
      <c r="AT42">
        <f t="shared" si="22"/>
        <v>6.6219999999999999</v>
      </c>
    </row>
    <row r="43" spans="1:46" x14ac:dyDescent="0.3">
      <c r="A43" s="66" t="s">
        <v>21</v>
      </c>
      <c r="B43" s="66" t="s">
        <v>48</v>
      </c>
      <c r="C43" s="68">
        <v>36</v>
      </c>
      <c r="D43" s="68">
        <v>27</v>
      </c>
      <c r="E43" s="68">
        <v>24</v>
      </c>
      <c r="F43" s="68">
        <v>135</v>
      </c>
      <c r="G43" s="68">
        <v>0</v>
      </c>
      <c r="H43" s="68">
        <v>0</v>
      </c>
      <c r="I43" s="68">
        <v>1</v>
      </c>
      <c r="J43" s="68">
        <v>1</v>
      </c>
      <c r="K43" s="68">
        <v>0</v>
      </c>
      <c r="L43" s="68">
        <v>0</v>
      </c>
      <c r="M43" s="66" t="str">
        <f t="shared" si="2"/>
        <v>-pier</v>
      </c>
      <c r="N43" s="69">
        <v>1.4</v>
      </c>
      <c r="O43" s="69">
        <v>2.2799999999999998</v>
      </c>
      <c r="P43" s="69">
        <v>0.7</v>
      </c>
      <c r="Q43" s="66" t="str">
        <f t="shared" si="3"/>
        <v>$Eelement</v>
      </c>
      <c r="R43" s="66" t="str">
        <f t="shared" si="4"/>
        <v>$Gs</v>
      </c>
      <c r="S43" s="66" t="str">
        <f t="shared" si="5"/>
        <v>$fc</v>
      </c>
      <c r="T43" s="66" t="str">
        <f t="shared" si="6"/>
        <v>$mus</v>
      </c>
      <c r="U43" s="66" t="str">
        <f t="shared" si="7"/>
        <v>$coh</v>
      </c>
      <c r="V43" s="66" t="str">
        <f t="shared" si="8"/>
        <v>$Gc</v>
      </c>
      <c r="W43" s="66" t="str">
        <f t="shared" si="9"/>
        <v>$dropDrift</v>
      </c>
      <c r="X43" s="66" t="str">
        <f t="shared" si="10"/>
        <v>$muR</v>
      </c>
      <c r="Y43" s="66" t="str">
        <f t="shared" si="11"/>
        <v>-density</v>
      </c>
      <c r="Z43" s="66" t="str">
        <f t="shared" si="12"/>
        <v>$rho</v>
      </c>
      <c r="AA43" s="66" t="str">
        <f t="shared" si="20"/>
        <v>-pDelta</v>
      </c>
      <c r="AB43" s="66" t="str">
        <f t="shared" si="21"/>
        <v>-secantDamping</v>
      </c>
      <c r="AC43" s="66" t="str">
        <f t="shared" si="14"/>
        <v>-driftS</v>
      </c>
      <c r="AD43" s="66" t="str">
        <f t="shared" si="15"/>
        <v>$driftS</v>
      </c>
      <c r="AE43" s="66" t="str">
        <f t="shared" si="16"/>
        <v>0.8</v>
      </c>
      <c r="AF43" s="66" t="str">
        <f t="shared" si="17"/>
        <v>-driftF</v>
      </c>
      <c r="AG43" s="66" t="str">
        <f t="shared" si="18"/>
        <v>$driftF</v>
      </c>
      <c r="AH43" s="66" t="str">
        <f t="shared" si="19"/>
        <v>0.0</v>
      </c>
      <c r="AI43" s="66" t="str" cm="1">
        <f t="array" ref="AI43">TRIM(_xlfn.TEXTJOIN(CHAR(9),TRUE,B43:M43, TEXT(ROUND(N43:P43,3),"0.000"),Q43:AD43,TEXT(ROUND(AE43,1),"0.0"),AF43:AG43,TEXT(ROUND(AH43,1),"0.0")))</f>
        <v>element Macroelement3d	36	27	24	135	0	0	1	1	0	0	-pier	1.400	2.280	0.700	$Eelement	$Gs	$fc	$mus	$coh	$Gc	$dropDrift	$muR	-density	$rho	-pDelta	-secantDamping	-driftS	$driftS	0.8	-driftF	$driftF	0.0</v>
      </c>
      <c r="AT43">
        <f t="shared" si="22"/>
        <v>2.2343999999999995</v>
      </c>
    </row>
    <row r="44" spans="1:46" x14ac:dyDescent="0.3">
      <c r="A44" s="66" t="s">
        <v>21</v>
      </c>
      <c r="B44" s="66" t="s">
        <v>48</v>
      </c>
      <c r="C44" s="68">
        <v>37</v>
      </c>
      <c r="D44" s="68">
        <v>26</v>
      </c>
      <c r="E44" s="68">
        <v>27</v>
      </c>
      <c r="F44" s="68">
        <v>136</v>
      </c>
      <c r="G44" s="68">
        <v>0</v>
      </c>
      <c r="H44" s="68">
        <v>1</v>
      </c>
      <c r="I44" s="68">
        <v>0</v>
      </c>
      <c r="J44" s="68">
        <v>1</v>
      </c>
      <c r="K44" s="68">
        <v>0</v>
      </c>
      <c r="L44" s="68">
        <v>0</v>
      </c>
      <c r="M44" s="66" t="str">
        <f t="shared" si="2"/>
        <v>-spandrel</v>
      </c>
      <c r="N44" s="69">
        <v>1.2</v>
      </c>
      <c r="O44" s="69">
        <v>0.8</v>
      </c>
      <c r="P44" s="69">
        <v>0.7</v>
      </c>
      <c r="Q44" s="66" t="str">
        <f t="shared" si="3"/>
        <v>$Eelement</v>
      </c>
      <c r="R44" s="66" t="str">
        <f t="shared" si="4"/>
        <v>$Gs</v>
      </c>
      <c r="S44" s="66" t="str">
        <f t="shared" si="5"/>
        <v>$fc</v>
      </c>
      <c r="T44" s="66" t="str">
        <f t="shared" si="6"/>
        <v>$mus</v>
      </c>
      <c r="U44" s="66" t="str">
        <f t="shared" si="7"/>
        <v>$coh</v>
      </c>
      <c r="V44" s="66" t="str">
        <f t="shared" si="8"/>
        <v>$Gc</v>
      </c>
      <c r="W44" s="66" t="str">
        <f t="shared" si="9"/>
        <v>$dropDrift</v>
      </c>
      <c r="X44" s="66" t="str">
        <f t="shared" si="10"/>
        <v>$muR</v>
      </c>
      <c r="Y44" s="66" t="str">
        <f t="shared" si="11"/>
        <v>-density</v>
      </c>
      <c r="Z44" s="66" t="str">
        <f t="shared" si="12"/>
        <v>$rho</v>
      </c>
      <c r="AA44" s="66" t="str">
        <f t="shared" si="20"/>
        <v>-pDelta</v>
      </c>
      <c r="AB44" s="66" t="str">
        <f t="shared" si="21"/>
        <v>-secantDamping</v>
      </c>
      <c r="AC44" s="66" t="str">
        <f t="shared" si="14"/>
        <v>-driftS</v>
      </c>
      <c r="AD44" s="66" t="str">
        <f t="shared" si="15"/>
        <v>$driftS</v>
      </c>
      <c r="AE44" s="66" t="str">
        <f t="shared" si="16"/>
        <v>0.8</v>
      </c>
      <c r="AF44" s="66" t="str">
        <f t="shared" si="17"/>
        <v>-driftF</v>
      </c>
      <c r="AG44" s="66" t="str">
        <f t="shared" si="18"/>
        <v>$driftF</v>
      </c>
      <c r="AH44" s="66" t="str">
        <f t="shared" si="19"/>
        <v>0.0</v>
      </c>
      <c r="AI44" s="66" t="str" cm="1">
        <f t="array" ref="AI44">TRIM(_xlfn.TEXTJOIN(CHAR(9),TRUE,B44:M44, TEXT(ROUND(N44:P44,3),"0.000"),Q44:AD44,TEXT(ROUND(AE44,1),"0.0"),AF44:AG44,TEXT(ROUND(AH44,1),"0.0")))</f>
        <v>element Macroelement3d	37	26	27	136	0	1	0	1	0	0	-spandrel	1.200	0.800	0.700	$Eelement	$Gs	$fc	$mus	$coh	$Gc	$dropDrift	$muR	-density	$rho	-pDelta	-secantDamping	-driftS	$driftS	0.8	-driftF	$driftF	0.0</v>
      </c>
      <c r="AT44">
        <f t="shared" si="22"/>
        <v>0.67199999999999993</v>
      </c>
    </row>
    <row r="45" spans="1:46" x14ac:dyDescent="0.3">
      <c r="C45" s="29"/>
      <c r="D45" s="29"/>
      <c r="E45" s="29"/>
      <c r="F45" s="29"/>
      <c r="G45" s="29"/>
      <c r="H45" s="29"/>
      <c r="I45" s="29"/>
      <c r="J45" s="29"/>
      <c r="K45" s="29"/>
      <c r="L45" s="29"/>
      <c r="N45" s="2"/>
      <c r="O45" s="2"/>
      <c r="P45" s="2"/>
      <c r="Q45" t="str">
        <f t="shared" si="3"/>
        <v/>
      </c>
      <c r="R45" t="str">
        <f t="shared" si="4"/>
        <v/>
      </c>
      <c r="S45" t="str">
        <f t="shared" si="5"/>
        <v/>
      </c>
      <c r="T45" t="str">
        <f t="shared" si="6"/>
        <v/>
      </c>
      <c r="U45" t="str">
        <f t="shared" si="7"/>
        <v/>
      </c>
      <c r="V45" t="str">
        <f t="shared" si="8"/>
        <v/>
      </c>
      <c r="W45" t="str">
        <f t="shared" si="9"/>
        <v/>
      </c>
      <c r="X45" t="str">
        <f t="shared" si="10"/>
        <v/>
      </c>
      <c r="Y45" t="str">
        <f t="shared" si="11"/>
        <v/>
      </c>
      <c r="Z45" t="str">
        <f t="shared" si="12"/>
        <v/>
      </c>
      <c r="AA45" t="str">
        <f t="shared" si="20"/>
        <v/>
      </c>
      <c r="AB45" t="str">
        <f t="shared" si="21"/>
        <v/>
      </c>
      <c r="AC45" t="str">
        <f t="shared" si="14"/>
        <v/>
      </c>
      <c r="AD45" t="str">
        <f t="shared" si="15"/>
        <v/>
      </c>
      <c r="AE45" t="str">
        <f t="shared" si="16"/>
        <v/>
      </c>
      <c r="AF45" t="str">
        <f t="shared" si="17"/>
        <v/>
      </c>
      <c r="AG45" t="str">
        <f t="shared" si="18"/>
        <v/>
      </c>
      <c r="AH45" t="str">
        <f t="shared" si="19"/>
        <v/>
      </c>
      <c r="AT45" t="str">
        <f t="shared" si="22"/>
        <v/>
      </c>
    </row>
    <row r="46" spans="1:46" s="38" customFormat="1" x14ac:dyDescent="0.3">
      <c r="A46" s="138" t="s">
        <v>45</v>
      </c>
      <c r="B46" s="138" t="s">
        <v>4</v>
      </c>
      <c r="C46" s="139"/>
      <c r="Q46" s="38" t="str">
        <f t="shared" si="3"/>
        <v/>
      </c>
      <c r="R46" s="38" t="str">
        <f t="shared" si="4"/>
        <v/>
      </c>
      <c r="S46" s="38" t="str">
        <f t="shared" si="5"/>
        <v/>
      </c>
      <c r="T46" s="38" t="str">
        <f t="shared" si="6"/>
        <v/>
      </c>
      <c r="U46" s="38" t="str">
        <f t="shared" si="7"/>
        <v/>
      </c>
      <c r="V46" s="38" t="str">
        <f t="shared" si="8"/>
        <v/>
      </c>
      <c r="W46" s="38" t="str">
        <f t="shared" si="9"/>
        <v/>
      </c>
      <c r="X46" s="38" t="str">
        <f t="shared" si="10"/>
        <v/>
      </c>
      <c r="Y46" s="38" t="str">
        <f t="shared" si="11"/>
        <v/>
      </c>
      <c r="Z46" s="38" t="str">
        <f t="shared" si="12"/>
        <v/>
      </c>
      <c r="AA46" s="38" t="str">
        <f t="shared" si="20"/>
        <v/>
      </c>
      <c r="AB46" s="38" t="str">
        <f t="shared" si="21"/>
        <v/>
      </c>
      <c r="AC46" s="38" t="str">
        <f t="shared" si="14"/>
        <v/>
      </c>
      <c r="AD46" s="38" t="str">
        <f t="shared" si="15"/>
        <v/>
      </c>
      <c r="AE46" s="38" t="str">
        <f t="shared" si="16"/>
        <v/>
      </c>
      <c r="AF46" s="38" t="str">
        <f t="shared" si="17"/>
        <v/>
      </c>
      <c r="AG46" s="38" t="str">
        <f t="shared" si="18"/>
        <v/>
      </c>
      <c r="AH46" s="38" t="str">
        <f t="shared" si="19"/>
        <v/>
      </c>
      <c r="AI46" s="38" t="str">
        <f>TRIM(_xlfn.TEXTJOIN(CHAR(9),TRUE,B46:AA46))</f>
        <v>#Wall 3</v>
      </c>
      <c r="AT46" s="38" t="str">
        <f t="shared" si="22"/>
        <v/>
      </c>
    </row>
    <row r="47" spans="1:46" x14ac:dyDescent="0.3">
      <c r="A47" s="66" t="s">
        <v>21</v>
      </c>
      <c r="B47" s="66" t="s">
        <v>48</v>
      </c>
      <c r="C47" s="68">
        <v>38</v>
      </c>
      <c r="D47" s="68">
        <v>72</v>
      </c>
      <c r="E47" s="68">
        <v>28</v>
      </c>
      <c r="F47" s="68">
        <v>137</v>
      </c>
      <c r="G47" s="68">
        <v>-1</v>
      </c>
      <c r="H47" s="68">
        <v>0</v>
      </c>
      <c r="I47" s="68">
        <v>0</v>
      </c>
      <c r="J47" s="68">
        <v>0</v>
      </c>
      <c r="K47" s="68">
        <v>1</v>
      </c>
      <c r="L47" s="68">
        <v>0</v>
      </c>
      <c r="M47" s="66" t="str">
        <f t="shared" si="2"/>
        <v>-spandrel</v>
      </c>
      <c r="N47" s="69">
        <v>1.2</v>
      </c>
      <c r="O47" s="69">
        <v>0.65</v>
      </c>
      <c r="P47" s="69">
        <v>0.55000000000000004</v>
      </c>
      <c r="Q47" s="66" t="str">
        <f t="shared" si="3"/>
        <v>$Eelement</v>
      </c>
      <c r="R47" s="66" t="str">
        <f t="shared" si="4"/>
        <v>$Gs</v>
      </c>
      <c r="S47" s="66" t="str">
        <f t="shared" si="5"/>
        <v>$fc</v>
      </c>
      <c r="T47" s="66" t="str">
        <f t="shared" si="6"/>
        <v>$mus</v>
      </c>
      <c r="U47" s="66" t="str">
        <f t="shared" si="7"/>
        <v>$coh</v>
      </c>
      <c r="V47" s="66" t="str">
        <f t="shared" si="8"/>
        <v>$Gc</v>
      </c>
      <c r="W47" s="66" t="str">
        <f t="shared" si="9"/>
        <v>$dropDrift</v>
      </c>
      <c r="X47" s="66" t="str">
        <f t="shared" si="10"/>
        <v>$muR</v>
      </c>
      <c r="Y47" s="66" t="str">
        <f t="shared" si="11"/>
        <v>-density</v>
      </c>
      <c r="Z47" s="66" t="str">
        <f t="shared" si="12"/>
        <v>$rho</v>
      </c>
      <c r="AA47" s="66" t="str">
        <f>IF(C47="","","")</f>
        <v/>
      </c>
      <c r="AB47" s="66" t="str">
        <f t="shared" si="21"/>
        <v>-secantDamping</v>
      </c>
      <c r="AC47" s="66" t="str">
        <f t="shared" si="14"/>
        <v>-driftS</v>
      </c>
      <c r="AD47" s="66" t="str">
        <f t="shared" si="15"/>
        <v>$driftS</v>
      </c>
      <c r="AE47" s="66" t="str">
        <f t="shared" si="16"/>
        <v>0.8</v>
      </c>
      <c r="AF47" s="66" t="str">
        <f t="shared" si="17"/>
        <v>-driftF</v>
      </c>
      <c r="AG47" s="66" t="str">
        <f t="shared" si="18"/>
        <v>$driftF</v>
      </c>
      <c r="AH47" s="66" t="str">
        <f t="shared" si="19"/>
        <v>0.0</v>
      </c>
      <c r="AI47" s="66" t="str" cm="1">
        <f t="array" ref="AI47">TRIM(_xlfn.TEXTJOIN(CHAR(9),TRUE,B47:M47, TEXT(ROUND(N47:P47,3),"0.000"),Q47:AD47,TEXT(ROUND(AE47,1),"0.0"),AF47:AG47,TEXT(ROUND(AH47,1),"0.0")))</f>
        <v>element Macroelement3d	38	72	28	137	-1	0	0	0	1	0	-spandrel	1.200	0.650	0.550	$Eelement	$Gs	$fc	$mus	$coh	$Gc	$dropDrift	$muR	-density	$rho	-secantDamping	-driftS	$driftS	0.8	-driftF	$driftF	0.0</v>
      </c>
      <c r="AT47">
        <f t="shared" si="22"/>
        <v>0.42900000000000005</v>
      </c>
    </row>
    <row r="48" spans="1:46" x14ac:dyDescent="0.3">
      <c r="A48" s="66" t="s">
        <v>21</v>
      </c>
      <c r="B48" s="66" t="s">
        <v>48</v>
      </c>
      <c r="C48" s="68">
        <v>39</v>
      </c>
      <c r="D48" s="68">
        <v>28</v>
      </c>
      <c r="E48" s="68">
        <v>29</v>
      </c>
      <c r="F48" s="68">
        <v>138</v>
      </c>
      <c r="G48" s="68">
        <v>-1</v>
      </c>
      <c r="H48" s="68">
        <v>0</v>
      </c>
      <c r="I48" s="68">
        <v>0</v>
      </c>
      <c r="J48" s="68">
        <v>0</v>
      </c>
      <c r="K48" s="68">
        <v>1</v>
      </c>
      <c r="L48" s="68">
        <v>0</v>
      </c>
      <c r="M48" s="66" t="str">
        <f t="shared" si="2"/>
        <v>-spandrel</v>
      </c>
      <c r="N48" s="69">
        <v>1.2</v>
      </c>
      <c r="O48" s="69">
        <v>0.65</v>
      </c>
      <c r="P48" s="69">
        <v>0.55000000000000004</v>
      </c>
      <c r="Q48" s="66" t="str">
        <f t="shared" si="3"/>
        <v>$Eelement</v>
      </c>
      <c r="R48" s="66" t="str">
        <f t="shared" si="4"/>
        <v>$Gs</v>
      </c>
      <c r="S48" s="66" t="str">
        <f t="shared" si="5"/>
        <v>$fc</v>
      </c>
      <c r="T48" s="66" t="str">
        <f t="shared" si="6"/>
        <v>$mus</v>
      </c>
      <c r="U48" s="66" t="str">
        <f t="shared" si="7"/>
        <v>$coh</v>
      </c>
      <c r="V48" s="66" t="str">
        <f t="shared" si="8"/>
        <v>$Gc</v>
      </c>
      <c r="W48" s="66" t="str">
        <f t="shared" si="9"/>
        <v>$dropDrift</v>
      </c>
      <c r="X48" s="66" t="str">
        <f t="shared" si="10"/>
        <v>$muR</v>
      </c>
      <c r="Y48" s="66" t="str">
        <f t="shared" si="11"/>
        <v>-density</v>
      </c>
      <c r="Z48" s="66" t="str">
        <f t="shared" si="12"/>
        <v>$rho</v>
      </c>
      <c r="AA48" s="66" t="str">
        <f t="shared" ref="AA48:AA50" si="23">IF(C48="","","")</f>
        <v/>
      </c>
      <c r="AB48" s="66" t="str">
        <f t="shared" si="21"/>
        <v>-secantDamping</v>
      </c>
      <c r="AC48" s="66" t="str">
        <f t="shared" si="14"/>
        <v>-driftS</v>
      </c>
      <c r="AD48" s="66" t="str">
        <f t="shared" si="15"/>
        <v>$driftS</v>
      </c>
      <c r="AE48" s="66" t="str">
        <f t="shared" si="16"/>
        <v>0.8</v>
      </c>
      <c r="AF48" s="66" t="str">
        <f t="shared" si="17"/>
        <v>-driftF</v>
      </c>
      <c r="AG48" s="66" t="str">
        <f t="shared" si="18"/>
        <v>$driftF</v>
      </c>
      <c r="AH48" s="66" t="str">
        <f t="shared" si="19"/>
        <v>0.0</v>
      </c>
      <c r="AI48" s="66" t="str" cm="1">
        <f t="array" ref="AI48">TRIM(_xlfn.TEXTJOIN(CHAR(9),TRUE,B48:M48, TEXT(ROUND(N48:P48,3),"0.000"),Q48:AD48,TEXT(ROUND(AE48,1),"0.0"),AF48:AG48,TEXT(ROUND(AH48,1),"0.0")))</f>
        <v>element Macroelement3d	39	28	29	138	-1	0	0	0	1	0	-spandrel	1.200	0.650	0.550	$Eelement	$Gs	$fc	$mus	$coh	$Gc	$dropDrift	$muR	-density	$rho	-secantDamping	-driftS	$driftS	0.8	-driftF	$driftF	0.0</v>
      </c>
      <c r="AT48">
        <f t="shared" si="22"/>
        <v>0.42900000000000005</v>
      </c>
    </row>
    <row r="49" spans="1:46" x14ac:dyDescent="0.3">
      <c r="A49" s="66" t="s">
        <v>21</v>
      </c>
      <c r="B49" s="66" t="s">
        <v>48</v>
      </c>
      <c r="C49" s="68">
        <v>40</v>
      </c>
      <c r="D49" s="68">
        <v>29</v>
      </c>
      <c r="E49" s="68">
        <v>30</v>
      </c>
      <c r="F49" s="68">
        <v>139</v>
      </c>
      <c r="G49" s="68">
        <v>-1</v>
      </c>
      <c r="H49" s="68">
        <v>0</v>
      </c>
      <c r="I49" s="68">
        <v>0</v>
      </c>
      <c r="J49" s="68">
        <v>0</v>
      </c>
      <c r="K49" s="68">
        <v>1</v>
      </c>
      <c r="L49" s="68">
        <v>0</v>
      </c>
      <c r="M49" s="66" t="str">
        <f t="shared" si="2"/>
        <v>-spandrel</v>
      </c>
      <c r="N49" s="69">
        <v>1.2</v>
      </c>
      <c r="O49" s="69">
        <v>0.65</v>
      </c>
      <c r="P49" s="69">
        <v>0.55000000000000004</v>
      </c>
      <c r="Q49" s="66" t="str">
        <f t="shared" si="3"/>
        <v>$Eelement</v>
      </c>
      <c r="R49" s="66" t="str">
        <f t="shared" si="4"/>
        <v>$Gs</v>
      </c>
      <c r="S49" s="66" t="str">
        <f t="shared" si="5"/>
        <v>$fc</v>
      </c>
      <c r="T49" s="66" t="str">
        <f t="shared" si="6"/>
        <v>$mus</v>
      </c>
      <c r="U49" s="66" t="str">
        <f t="shared" si="7"/>
        <v>$coh</v>
      </c>
      <c r="V49" s="66" t="str">
        <f t="shared" si="8"/>
        <v>$Gc</v>
      </c>
      <c r="W49" s="66" t="str">
        <f t="shared" si="9"/>
        <v>$dropDrift</v>
      </c>
      <c r="X49" s="66" t="str">
        <f t="shared" si="10"/>
        <v>$muR</v>
      </c>
      <c r="Y49" s="66" t="str">
        <f t="shared" si="11"/>
        <v>-density</v>
      </c>
      <c r="Z49" s="66" t="str">
        <f t="shared" si="12"/>
        <v>$rho</v>
      </c>
      <c r="AA49" s="66" t="str">
        <f t="shared" si="23"/>
        <v/>
      </c>
      <c r="AB49" s="66" t="str">
        <f t="shared" si="21"/>
        <v>-secantDamping</v>
      </c>
      <c r="AC49" s="66" t="str">
        <f t="shared" si="14"/>
        <v>-driftS</v>
      </c>
      <c r="AD49" s="66" t="str">
        <f t="shared" si="15"/>
        <v>$driftS</v>
      </c>
      <c r="AE49" s="66" t="str">
        <f t="shared" si="16"/>
        <v>0.8</v>
      </c>
      <c r="AF49" s="66" t="str">
        <f t="shared" si="17"/>
        <v>-driftF</v>
      </c>
      <c r="AG49" s="66" t="str">
        <f t="shared" si="18"/>
        <v>$driftF</v>
      </c>
      <c r="AH49" s="66" t="str">
        <f t="shared" si="19"/>
        <v>0.0</v>
      </c>
      <c r="AI49" s="66" t="str" cm="1">
        <f t="array" ref="AI49">TRIM(_xlfn.TEXTJOIN(CHAR(9),TRUE,B49:M49, TEXT(ROUND(N49:P49,3),"0.000"),Q49:AD49,TEXT(ROUND(AE49,1),"0.0"),AF49:AG49,TEXT(ROUND(AH49,1),"0.0")))</f>
        <v>element Macroelement3d	40	29	30	139	-1	0	0	0	1	0	-spandrel	1.200	0.650	0.550	$Eelement	$Gs	$fc	$mus	$coh	$Gc	$dropDrift	$muR	-density	$rho	-secantDamping	-driftS	$driftS	0.8	-driftF	$driftF	0.0</v>
      </c>
      <c r="AT49">
        <f t="shared" si="22"/>
        <v>0.42900000000000005</v>
      </c>
    </row>
    <row r="50" spans="1:46" x14ac:dyDescent="0.3">
      <c r="A50" s="66" t="s">
        <v>21</v>
      </c>
      <c r="B50" s="66" t="s">
        <v>48</v>
      </c>
      <c r="C50" s="68">
        <v>41</v>
      </c>
      <c r="D50" s="68">
        <v>30</v>
      </c>
      <c r="E50" s="68">
        <v>31</v>
      </c>
      <c r="F50" s="68">
        <v>140</v>
      </c>
      <c r="G50" s="68">
        <v>-1</v>
      </c>
      <c r="H50" s="68">
        <v>0</v>
      </c>
      <c r="I50" s="68">
        <v>0</v>
      </c>
      <c r="J50" s="68">
        <v>0</v>
      </c>
      <c r="K50" s="68">
        <v>1</v>
      </c>
      <c r="L50" s="68">
        <v>0</v>
      </c>
      <c r="M50" s="66" t="str">
        <f t="shared" si="2"/>
        <v>-spandrel</v>
      </c>
      <c r="N50" s="69">
        <v>1.2</v>
      </c>
      <c r="O50" s="69">
        <v>0.65</v>
      </c>
      <c r="P50" s="69">
        <v>0.55000000000000004</v>
      </c>
      <c r="Q50" s="66" t="str">
        <f t="shared" si="3"/>
        <v>$Eelement</v>
      </c>
      <c r="R50" s="66" t="str">
        <f t="shared" si="4"/>
        <v>$Gs</v>
      </c>
      <c r="S50" s="66" t="str">
        <f t="shared" si="5"/>
        <v>$fc</v>
      </c>
      <c r="T50" s="66" t="str">
        <f t="shared" si="6"/>
        <v>$mus</v>
      </c>
      <c r="U50" s="66" t="str">
        <f t="shared" si="7"/>
        <v>$coh</v>
      </c>
      <c r="V50" s="66" t="str">
        <f t="shared" si="8"/>
        <v>$Gc</v>
      </c>
      <c r="W50" s="66" t="str">
        <f t="shared" si="9"/>
        <v>$dropDrift</v>
      </c>
      <c r="X50" s="66" t="str">
        <f t="shared" si="10"/>
        <v>$muR</v>
      </c>
      <c r="Y50" s="66" t="str">
        <f t="shared" si="11"/>
        <v>-density</v>
      </c>
      <c r="Z50" s="66" t="str">
        <f t="shared" si="12"/>
        <v>$rho</v>
      </c>
      <c r="AA50" s="66" t="str">
        <f t="shared" si="23"/>
        <v/>
      </c>
      <c r="AB50" s="66" t="str">
        <f t="shared" si="21"/>
        <v>-secantDamping</v>
      </c>
      <c r="AC50" s="66" t="str">
        <f t="shared" si="14"/>
        <v>-driftS</v>
      </c>
      <c r="AD50" s="66" t="str">
        <f t="shared" si="15"/>
        <v>$driftS</v>
      </c>
      <c r="AE50" s="66" t="str">
        <f t="shared" si="16"/>
        <v>0.8</v>
      </c>
      <c r="AF50" s="66" t="str">
        <f t="shared" si="17"/>
        <v>-driftF</v>
      </c>
      <c r="AG50" s="66" t="str">
        <f t="shared" si="18"/>
        <v>$driftF</v>
      </c>
      <c r="AH50" s="66" t="str">
        <f t="shared" si="19"/>
        <v>0.0</v>
      </c>
      <c r="AI50" s="66" t="str" cm="1">
        <f t="array" ref="AI50">TRIM(_xlfn.TEXTJOIN(CHAR(9),TRUE,B50:M50, TEXT(ROUND(N50:P50,3),"0.000"),Q50:AD50,TEXT(ROUND(AE50,1),"0.0"),AF50:AG50,TEXT(ROUND(AH50,1),"0.0")))</f>
        <v>element Macroelement3d	41	30	31	140	-1	0	0	0	1	0	-spandrel	1.200	0.650	0.550	$Eelement	$Gs	$fc	$mus	$coh	$Gc	$dropDrift	$muR	-density	$rho	-secantDamping	-driftS	$driftS	0.8	-driftF	$driftF	0.0</v>
      </c>
      <c r="AT50">
        <f t="shared" si="22"/>
        <v>0.42900000000000005</v>
      </c>
    </row>
    <row r="51" spans="1:46" x14ac:dyDescent="0.3">
      <c r="A51" s="66" t="s">
        <v>21</v>
      </c>
      <c r="B51" s="66" t="s">
        <v>48</v>
      </c>
      <c r="C51" s="68">
        <v>42</v>
      </c>
      <c r="D51" s="68">
        <v>75</v>
      </c>
      <c r="E51" s="68">
        <v>72</v>
      </c>
      <c r="F51" s="68">
        <v>141</v>
      </c>
      <c r="G51" s="68">
        <v>0</v>
      </c>
      <c r="H51" s="68">
        <v>0</v>
      </c>
      <c r="I51" s="68">
        <v>1</v>
      </c>
      <c r="J51" s="68">
        <v>0</v>
      </c>
      <c r="K51" s="68">
        <v>1</v>
      </c>
      <c r="L51" s="68">
        <v>0</v>
      </c>
      <c r="M51" s="66" t="str">
        <f t="shared" si="2"/>
        <v>-pier</v>
      </c>
      <c r="N51" s="69">
        <v>1.7</v>
      </c>
      <c r="O51" s="69">
        <v>2.08</v>
      </c>
      <c r="P51" s="69">
        <v>0.55000000000000004</v>
      </c>
      <c r="Q51" s="66" t="str">
        <f t="shared" si="3"/>
        <v>$Eelement</v>
      </c>
      <c r="R51" s="66" t="str">
        <f t="shared" si="4"/>
        <v>$Gs</v>
      </c>
      <c r="S51" s="66" t="str">
        <f t="shared" si="5"/>
        <v>$fc</v>
      </c>
      <c r="T51" s="66" t="str">
        <f t="shared" si="6"/>
        <v>$mus</v>
      </c>
      <c r="U51" s="66" t="str">
        <f t="shared" si="7"/>
        <v>$coh</v>
      </c>
      <c r="V51" s="66" t="str">
        <f t="shared" si="8"/>
        <v>$Gc</v>
      </c>
      <c r="W51" s="66" t="str">
        <f t="shared" si="9"/>
        <v>$dropDrift</v>
      </c>
      <c r="X51" s="66" t="str">
        <f t="shared" si="10"/>
        <v>$muR</v>
      </c>
      <c r="Y51" s="66" t="str">
        <f t="shared" si="11"/>
        <v>-density</v>
      </c>
      <c r="Z51" s="66" t="str">
        <f t="shared" si="12"/>
        <v>$rho</v>
      </c>
      <c r="AA51" s="66" t="str">
        <f t="shared" si="20"/>
        <v>-pDelta</v>
      </c>
      <c r="AB51" s="66" t="str">
        <f t="shared" si="21"/>
        <v>-secantDamping</v>
      </c>
      <c r="AC51" s="66" t="str">
        <f t="shared" si="14"/>
        <v>-driftS</v>
      </c>
      <c r="AD51" s="66" t="str">
        <f t="shared" si="15"/>
        <v>$driftS</v>
      </c>
      <c r="AE51" s="66" t="str">
        <f t="shared" si="16"/>
        <v>0.8</v>
      </c>
      <c r="AF51" s="66" t="str">
        <f t="shared" si="17"/>
        <v>-driftF</v>
      </c>
      <c r="AG51" s="66" t="str">
        <f t="shared" si="18"/>
        <v>$driftF</v>
      </c>
      <c r="AH51" s="66" t="str">
        <f t="shared" si="19"/>
        <v>0.0</v>
      </c>
      <c r="AI51" s="66" t="str" cm="1">
        <f t="array" ref="AI51">TRIM(_xlfn.TEXTJOIN(CHAR(9),TRUE,B51:M51, TEXT(ROUND(N51:P51,3),"0.000"),Q51:AD51,TEXT(ROUND(AE51,1),"0.0"),AF51:AG51,TEXT(ROUND(AH51,1),"0.0")))</f>
        <v>element Macroelement3d	42	75	72	141	0	0	1	0	1	0	-pier	1.700	2.080	0.550	$Eelement	$Gs	$fc	$mus	$coh	$Gc	$dropDrift	$muR	-density	$rho	-pDelta	-secantDamping	-driftS	$driftS	0.8	-driftF	$driftF	0.0</v>
      </c>
      <c r="AT51">
        <f t="shared" si="22"/>
        <v>1.9448000000000001</v>
      </c>
    </row>
    <row r="52" spans="1:46" x14ac:dyDescent="0.3">
      <c r="A52" s="66" t="s">
        <v>21</v>
      </c>
      <c r="B52" s="66" t="s">
        <v>48</v>
      </c>
      <c r="C52" s="68">
        <v>43</v>
      </c>
      <c r="D52" s="68">
        <v>32</v>
      </c>
      <c r="E52" s="68">
        <v>28</v>
      </c>
      <c r="F52" s="68">
        <v>142</v>
      </c>
      <c r="G52" s="68">
        <v>0</v>
      </c>
      <c r="H52" s="68">
        <v>0</v>
      </c>
      <c r="I52" s="68">
        <v>1</v>
      </c>
      <c r="J52" s="68">
        <v>0</v>
      </c>
      <c r="K52" s="68">
        <v>1</v>
      </c>
      <c r="L52" s="68">
        <v>0</v>
      </c>
      <c r="M52" s="66" t="str">
        <f t="shared" si="2"/>
        <v>-pier</v>
      </c>
      <c r="N52" s="69">
        <v>1.7</v>
      </c>
      <c r="O52" s="69">
        <v>2.7</v>
      </c>
      <c r="P52" s="69">
        <v>0.55000000000000004</v>
      </c>
      <c r="Q52" s="66" t="str">
        <f t="shared" si="3"/>
        <v>$Eelement</v>
      </c>
      <c r="R52" s="66" t="str">
        <f t="shared" si="4"/>
        <v>$Gs</v>
      </c>
      <c r="S52" s="66" t="str">
        <f t="shared" si="5"/>
        <v>$fc</v>
      </c>
      <c r="T52" s="66" t="str">
        <f t="shared" si="6"/>
        <v>$mus</v>
      </c>
      <c r="U52" s="66" t="str">
        <f t="shared" si="7"/>
        <v>$coh</v>
      </c>
      <c r="V52" s="66" t="str">
        <f t="shared" si="8"/>
        <v>$Gc</v>
      </c>
      <c r="W52" s="66" t="str">
        <f t="shared" si="9"/>
        <v>$dropDrift</v>
      </c>
      <c r="X52" s="66" t="str">
        <f t="shared" si="10"/>
        <v>$muR</v>
      </c>
      <c r="Y52" s="66" t="str">
        <f t="shared" si="11"/>
        <v>-density</v>
      </c>
      <c r="Z52" s="66" t="str">
        <f t="shared" si="12"/>
        <v>$rho</v>
      </c>
      <c r="AA52" s="66" t="str">
        <f t="shared" si="20"/>
        <v>-pDelta</v>
      </c>
      <c r="AB52" s="66" t="str">
        <f t="shared" si="21"/>
        <v>-secantDamping</v>
      </c>
      <c r="AC52" s="66" t="str">
        <f t="shared" si="14"/>
        <v>-driftS</v>
      </c>
      <c r="AD52" s="66" t="str">
        <f t="shared" si="15"/>
        <v>$driftS</v>
      </c>
      <c r="AE52" s="66" t="str">
        <f t="shared" si="16"/>
        <v>0.8</v>
      </c>
      <c r="AF52" s="66" t="str">
        <f t="shared" si="17"/>
        <v>-driftF</v>
      </c>
      <c r="AG52" s="66" t="str">
        <f t="shared" si="18"/>
        <v>$driftF</v>
      </c>
      <c r="AH52" s="66" t="str">
        <f t="shared" si="19"/>
        <v>0.0</v>
      </c>
      <c r="AI52" s="66" t="str" cm="1">
        <f t="array" ref="AI52">TRIM(_xlfn.TEXTJOIN(CHAR(9),TRUE,B52:M52, TEXT(ROUND(N52:P52,3),"0.000"),Q52:AD52,TEXT(ROUND(AE52,1),"0.0"),AF52:AG52,TEXT(ROUND(AH52,1),"0.0")))</f>
        <v>element Macroelement3d	43	32	28	142	0	0	1	0	1	0	-pier	1.700	2.700	0.550	$Eelement	$Gs	$fc	$mus	$coh	$Gc	$dropDrift	$muR	-density	$rho	-pDelta	-secantDamping	-driftS	$driftS	0.8	-driftF	$driftF	0.0</v>
      </c>
      <c r="AT52">
        <f t="shared" si="22"/>
        <v>2.5245000000000002</v>
      </c>
    </row>
    <row r="53" spans="1:46" x14ac:dyDescent="0.3">
      <c r="A53" s="66" t="s">
        <v>21</v>
      </c>
      <c r="B53" s="66" t="s">
        <v>48</v>
      </c>
      <c r="C53" s="68">
        <v>44</v>
      </c>
      <c r="D53" s="68">
        <v>33</v>
      </c>
      <c r="E53" s="68">
        <v>29</v>
      </c>
      <c r="F53" s="68">
        <v>143</v>
      </c>
      <c r="G53" s="68">
        <v>0</v>
      </c>
      <c r="H53" s="68">
        <v>0</v>
      </c>
      <c r="I53" s="68">
        <v>1</v>
      </c>
      <c r="J53" s="68">
        <v>0</v>
      </c>
      <c r="K53" s="68">
        <v>1</v>
      </c>
      <c r="L53" s="68">
        <v>0</v>
      </c>
      <c r="M53" s="66" t="str">
        <f t="shared" si="2"/>
        <v>-pier</v>
      </c>
      <c r="N53" s="69">
        <v>1.7</v>
      </c>
      <c r="O53" s="69">
        <v>2.8</v>
      </c>
      <c r="P53" s="69">
        <v>0.55000000000000004</v>
      </c>
      <c r="Q53" s="66" t="str">
        <f t="shared" si="3"/>
        <v>$Eelement</v>
      </c>
      <c r="R53" s="66" t="str">
        <f t="shared" si="4"/>
        <v>$Gs</v>
      </c>
      <c r="S53" s="66" t="str">
        <f t="shared" si="5"/>
        <v>$fc</v>
      </c>
      <c r="T53" s="66" t="str">
        <f t="shared" si="6"/>
        <v>$mus</v>
      </c>
      <c r="U53" s="66" t="str">
        <f t="shared" si="7"/>
        <v>$coh</v>
      </c>
      <c r="V53" s="66" t="str">
        <f t="shared" si="8"/>
        <v>$Gc</v>
      </c>
      <c r="W53" s="66" t="str">
        <f t="shared" si="9"/>
        <v>$dropDrift</v>
      </c>
      <c r="X53" s="66" t="str">
        <f t="shared" si="10"/>
        <v>$muR</v>
      </c>
      <c r="Y53" s="66" t="str">
        <f t="shared" si="11"/>
        <v>-density</v>
      </c>
      <c r="Z53" s="66" t="str">
        <f t="shared" si="12"/>
        <v>$rho</v>
      </c>
      <c r="AA53" s="66" t="str">
        <f t="shared" si="20"/>
        <v>-pDelta</v>
      </c>
      <c r="AB53" s="66" t="str">
        <f t="shared" si="21"/>
        <v>-secantDamping</v>
      </c>
      <c r="AC53" s="66" t="str">
        <f t="shared" si="14"/>
        <v>-driftS</v>
      </c>
      <c r="AD53" s="66" t="str">
        <f t="shared" si="15"/>
        <v>$driftS</v>
      </c>
      <c r="AE53" s="66" t="str">
        <f t="shared" si="16"/>
        <v>0.8</v>
      </c>
      <c r="AF53" s="66" t="str">
        <f t="shared" si="17"/>
        <v>-driftF</v>
      </c>
      <c r="AG53" s="66" t="str">
        <f t="shared" si="18"/>
        <v>$driftF</v>
      </c>
      <c r="AH53" s="66" t="str">
        <f t="shared" si="19"/>
        <v>0.0</v>
      </c>
      <c r="AI53" s="66" t="str" cm="1">
        <f t="array" ref="AI53">TRIM(_xlfn.TEXTJOIN(CHAR(9),TRUE,B53:M53, TEXT(ROUND(N53:P53,3),"0.000"),Q53:AD53,TEXT(ROUND(AE53,1),"0.0"),AF53:AG53,TEXT(ROUND(AH53,1),"0.0")))</f>
        <v>element Macroelement3d	44	33	29	143	0	0	1	0	1	0	-pier	1.700	2.800	0.550	$Eelement	$Gs	$fc	$mus	$coh	$Gc	$dropDrift	$muR	-density	$rho	-pDelta	-secantDamping	-driftS	$driftS	0.8	-driftF	$driftF	0.0</v>
      </c>
      <c r="AT53">
        <f t="shared" si="22"/>
        <v>2.6179999999999999</v>
      </c>
    </row>
    <row r="54" spans="1:46" x14ac:dyDescent="0.3">
      <c r="A54" s="66" t="s">
        <v>21</v>
      </c>
      <c r="B54" s="66" t="s">
        <v>48</v>
      </c>
      <c r="C54" s="68">
        <v>45</v>
      </c>
      <c r="D54" s="68">
        <v>34</v>
      </c>
      <c r="E54" s="68">
        <v>30</v>
      </c>
      <c r="F54" s="68">
        <v>144</v>
      </c>
      <c r="G54" s="68">
        <v>0</v>
      </c>
      <c r="H54" s="68">
        <v>0</v>
      </c>
      <c r="I54" s="68">
        <v>1</v>
      </c>
      <c r="J54" s="68">
        <v>0</v>
      </c>
      <c r="K54" s="68">
        <v>1</v>
      </c>
      <c r="L54" s="68">
        <v>0</v>
      </c>
      <c r="M54" s="66" t="str">
        <f t="shared" si="2"/>
        <v>-pier</v>
      </c>
      <c r="N54" s="69">
        <v>1.7</v>
      </c>
      <c r="O54" s="69">
        <v>2.7</v>
      </c>
      <c r="P54" s="69">
        <v>0.55000000000000004</v>
      </c>
      <c r="Q54" s="66" t="str">
        <f t="shared" si="3"/>
        <v>$Eelement</v>
      </c>
      <c r="R54" s="66" t="str">
        <f t="shared" si="4"/>
        <v>$Gs</v>
      </c>
      <c r="S54" s="66" t="str">
        <f t="shared" si="5"/>
        <v>$fc</v>
      </c>
      <c r="T54" s="66" t="str">
        <f t="shared" si="6"/>
        <v>$mus</v>
      </c>
      <c r="U54" s="66" t="str">
        <f t="shared" si="7"/>
        <v>$coh</v>
      </c>
      <c r="V54" s="66" t="str">
        <f t="shared" si="8"/>
        <v>$Gc</v>
      </c>
      <c r="W54" s="66" t="str">
        <f t="shared" si="9"/>
        <v>$dropDrift</v>
      </c>
      <c r="X54" s="66" t="str">
        <f t="shared" si="10"/>
        <v>$muR</v>
      </c>
      <c r="Y54" s="66" t="str">
        <f t="shared" si="11"/>
        <v>-density</v>
      </c>
      <c r="Z54" s="66" t="str">
        <f t="shared" si="12"/>
        <v>$rho</v>
      </c>
      <c r="AA54" s="66" t="str">
        <f t="shared" si="20"/>
        <v>-pDelta</v>
      </c>
      <c r="AB54" s="66" t="str">
        <f t="shared" si="21"/>
        <v>-secantDamping</v>
      </c>
      <c r="AC54" s="66" t="str">
        <f t="shared" si="14"/>
        <v>-driftS</v>
      </c>
      <c r="AD54" s="66" t="str">
        <f t="shared" si="15"/>
        <v>$driftS</v>
      </c>
      <c r="AE54" s="66" t="str">
        <f t="shared" si="16"/>
        <v>0.8</v>
      </c>
      <c r="AF54" s="66" t="str">
        <f t="shared" si="17"/>
        <v>-driftF</v>
      </c>
      <c r="AG54" s="66" t="str">
        <f t="shared" si="18"/>
        <v>$driftF</v>
      </c>
      <c r="AH54" s="66" t="str">
        <f t="shared" si="19"/>
        <v>0.0</v>
      </c>
      <c r="AI54" s="66" t="str" cm="1">
        <f t="array" ref="AI54">TRIM(_xlfn.TEXTJOIN(CHAR(9),TRUE,B54:M54, TEXT(ROUND(N54:P54,3),"0.000"),Q54:AD54,TEXT(ROUND(AE54,1),"0.0"),AF54:AG54,TEXT(ROUND(AH54,1),"0.0")))</f>
        <v>element Macroelement3d	45	34	30	144	0	0	1	0	1	0	-pier	1.700	2.700	0.550	$Eelement	$Gs	$fc	$mus	$coh	$Gc	$dropDrift	$muR	-density	$rho	-pDelta	-secantDamping	-driftS	$driftS	0.8	-driftF	$driftF	0.0</v>
      </c>
      <c r="AT54">
        <f t="shared" si="22"/>
        <v>2.5245000000000002</v>
      </c>
    </row>
    <row r="55" spans="1:46" x14ac:dyDescent="0.3">
      <c r="A55" s="66" t="s">
        <v>21</v>
      </c>
      <c r="B55" s="66" t="s">
        <v>48</v>
      </c>
      <c r="C55" s="68">
        <v>46</v>
      </c>
      <c r="D55" s="68">
        <v>35</v>
      </c>
      <c r="E55" s="68">
        <v>31</v>
      </c>
      <c r="F55" s="68">
        <v>145</v>
      </c>
      <c r="G55" s="68">
        <v>0</v>
      </c>
      <c r="H55" s="68">
        <v>0</v>
      </c>
      <c r="I55" s="68">
        <v>1</v>
      </c>
      <c r="J55" s="68">
        <v>0</v>
      </c>
      <c r="K55" s="68">
        <v>1</v>
      </c>
      <c r="L55" s="68">
        <v>0</v>
      </c>
      <c r="M55" s="66" t="str">
        <f t="shared" si="2"/>
        <v>-pier</v>
      </c>
      <c r="N55" s="69">
        <v>1.7</v>
      </c>
      <c r="O55" s="69">
        <v>2.08</v>
      </c>
      <c r="P55" s="69">
        <v>0.55000000000000004</v>
      </c>
      <c r="Q55" s="66" t="str">
        <f t="shared" si="3"/>
        <v>$Eelement</v>
      </c>
      <c r="R55" s="66" t="str">
        <f t="shared" si="4"/>
        <v>$Gs</v>
      </c>
      <c r="S55" s="66" t="str">
        <f t="shared" si="5"/>
        <v>$fc</v>
      </c>
      <c r="T55" s="66" t="str">
        <f t="shared" si="6"/>
        <v>$mus</v>
      </c>
      <c r="U55" s="66" t="str">
        <f t="shared" si="7"/>
        <v>$coh</v>
      </c>
      <c r="V55" s="66" t="str">
        <f t="shared" si="8"/>
        <v>$Gc</v>
      </c>
      <c r="W55" s="66" t="str">
        <f t="shared" si="9"/>
        <v>$dropDrift</v>
      </c>
      <c r="X55" s="66" t="str">
        <f t="shared" si="10"/>
        <v>$muR</v>
      </c>
      <c r="Y55" s="66" t="str">
        <f t="shared" si="11"/>
        <v>-density</v>
      </c>
      <c r="Z55" s="66" t="str">
        <f t="shared" si="12"/>
        <v>$rho</v>
      </c>
      <c r="AA55" s="66" t="str">
        <f t="shared" si="20"/>
        <v>-pDelta</v>
      </c>
      <c r="AB55" s="66" t="str">
        <f t="shared" si="21"/>
        <v>-secantDamping</v>
      </c>
      <c r="AC55" s="66" t="str">
        <f t="shared" si="14"/>
        <v>-driftS</v>
      </c>
      <c r="AD55" s="66" t="str">
        <f t="shared" si="15"/>
        <v>$driftS</v>
      </c>
      <c r="AE55" s="66" t="str">
        <f t="shared" si="16"/>
        <v>0.8</v>
      </c>
      <c r="AF55" s="66" t="str">
        <f t="shared" si="17"/>
        <v>-driftF</v>
      </c>
      <c r="AG55" s="66" t="str">
        <f t="shared" si="18"/>
        <v>$driftF</v>
      </c>
      <c r="AH55" s="66" t="str">
        <f t="shared" si="19"/>
        <v>0.0</v>
      </c>
      <c r="AI55" s="66" t="str" cm="1">
        <f t="array" ref="AI55">TRIM(_xlfn.TEXTJOIN(CHAR(9),TRUE,B55:M55, TEXT(ROUND(N55:P55,3),"0.000"),Q55:AD55,TEXT(ROUND(AE55,1),"0.0"),AF55:AG55,TEXT(ROUND(AH55,1),"0.0")))</f>
        <v>element Macroelement3d	46	35	31	145	0	0	1	0	1	0	-pier	1.700	2.080	0.550	$Eelement	$Gs	$fc	$mus	$coh	$Gc	$dropDrift	$muR	-density	$rho	-pDelta	-secantDamping	-driftS	$driftS	0.8	-driftF	$driftF	0.0</v>
      </c>
      <c r="AT55">
        <f t="shared" si="22"/>
        <v>1.9448000000000001</v>
      </c>
    </row>
    <row r="56" spans="1:46" x14ac:dyDescent="0.3">
      <c r="A56" s="66" t="s">
        <v>21</v>
      </c>
      <c r="B56" s="66" t="s">
        <v>48</v>
      </c>
      <c r="C56" s="68">
        <v>47</v>
      </c>
      <c r="D56" s="68">
        <v>75</v>
      </c>
      <c r="E56" s="68">
        <v>32</v>
      </c>
      <c r="F56" s="68">
        <v>146</v>
      </c>
      <c r="G56" s="68">
        <v>-1</v>
      </c>
      <c r="H56" s="68">
        <v>0</v>
      </c>
      <c r="I56" s="68">
        <v>0</v>
      </c>
      <c r="J56" s="68">
        <v>0</v>
      </c>
      <c r="K56" s="68">
        <v>1</v>
      </c>
      <c r="L56" s="68">
        <v>0</v>
      </c>
      <c r="M56" s="66" t="str">
        <f t="shared" si="2"/>
        <v>-spandrel</v>
      </c>
      <c r="N56" s="69">
        <v>1.2</v>
      </c>
      <c r="O56" s="69">
        <v>1.55</v>
      </c>
      <c r="P56" s="69">
        <v>0.6</v>
      </c>
      <c r="Q56" s="66" t="str">
        <f t="shared" si="3"/>
        <v>$Eelement</v>
      </c>
      <c r="R56" s="66" t="str">
        <f t="shared" si="4"/>
        <v>$Gs</v>
      </c>
      <c r="S56" s="66" t="str">
        <f t="shared" si="5"/>
        <v>$fc</v>
      </c>
      <c r="T56" s="66" t="str">
        <f t="shared" si="6"/>
        <v>$mus</v>
      </c>
      <c r="U56" s="66" t="str">
        <f t="shared" si="7"/>
        <v>$coh</v>
      </c>
      <c r="V56" s="66" t="str">
        <f t="shared" si="8"/>
        <v>$Gc</v>
      </c>
      <c r="W56" s="66" t="str">
        <f t="shared" si="9"/>
        <v>$dropDrift</v>
      </c>
      <c r="X56" s="66" t="str">
        <f t="shared" si="10"/>
        <v>$muR</v>
      </c>
      <c r="Y56" s="66" t="str">
        <f t="shared" si="11"/>
        <v>-density</v>
      </c>
      <c r="Z56" s="66" t="str">
        <f t="shared" si="12"/>
        <v>$rho</v>
      </c>
      <c r="AA56" s="66" t="str">
        <f t="shared" si="20"/>
        <v>-pDelta</v>
      </c>
      <c r="AB56" s="66" t="str">
        <f t="shared" si="21"/>
        <v>-secantDamping</v>
      </c>
      <c r="AC56" s="66" t="str">
        <f t="shared" si="14"/>
        <v>-driftS</v>
      </c>
      <c r="AD56" s="66" t="str">
        <f t="shared" si="15"/>
        <v>$driftS</v>
      </c>
      <c r="AE56" s="66" t="str">
        <f t="shared" si="16"/>
        <v>0.8</v>
      </c>
      <c r="AF56" s="66" t="str">
        <f t="shared" si="17"/>
        <v>-driftF</v>
      </c>
      <c r="AG56" s="66" t="str">
        <f t="shared" si="18"/>
        <v>$driftF</v>
      </c>
      <c r="AH56" s="66" t="str">
        <f t="shared" si="19"/>
        <v>0.0</v>
      </c>
      <c r="AI56" s="66" t="str" cm="1">
        <f t="array" ref="AI56">TRIM(_xlfn.TEXTJOIN(CHAR(9),TRUE,B56:M56, TEXT(ROUND(N56:P56,3),"0.000"),Q56:AD56,TEXT(ROUND(AE56,1),"0.0"),AF56:AG56,TEXT(ROUND(AH56,1),"0.0")))</f>
        <v>element Macroelement3d	47	75	32	146	-1	0	0	0	1	0	-spandrel	1.200	1.550	0.600	$Eelement	$Gs	$fc	$mus	$coh	$Gc	$dropDrift	$muR	-density	$rho	-pDelta	-secantDamping	-driftS	$driftS	0.8	-driftF	$driftF	0.0</v>
      </c>
      <c r="AT56">
        <f t="shared" si="22"/>
        <v>1.1159999999999999</v>
      </c>
    </row>
    <row r="57" spans="1:46" x14ac:dyDescent="0.3">
      <c r="A57" s="66" t="s">
        <v>21</v>
      </c>
      <c r="B57" s="66" t="s">
        <v>48</v>
      </c>
      <c r="C57" s="68">
        <v>48</v>
      </c>
      <c r="D57" s="68">
        <v>32</v>
      </c>
      <c r="E57" s="68">
        <v>33</v>
      </c>
      <c r="F57" s="68">
        <v>147</v>
      </c>
      <c r="G57" s="68">
        <v>-1</v>
      </c>
      <c r="H57" s="68">
        <v>0</v>
      </c>
      <c r="I57" s="68">
        <v>0</v>
      </c>
      <c r="J57" s="68">
        <v>0</v>
      </c>
      <c r="K57" s="68">
        <v>1</v>
      </c>
      <c r="L57" s="68">
        <v>0</v>
      </c>
      <c r="M57" s="66" t="str">
        <f t="shared" si="2"/>
        <v>-spandrel</v>
      </c>
      <c r="N57" s="69">
        <v>1.2</v>
      </c>
      <c r="O57" s="69">
        <v>1.55</v>
      </c>
      <c r="P57" s="69">
        <v>0.6</v>
      </c>
      <c r="Q57" s="66" t="str">
        <f t="shared" si="3"/>
        <v>$Eelement</v>
      </c>
      <c r="R57" s="66" t="str">
        <f t="shared" si="4"/>
        <v>$Gs</v>
      </c>
      <c r="S57" s="66" t="str">
        <f t="shared" si="5"/>
        <v>$fc</v>
      </c>
      <c r="T57" s="66" t="str">
        <f t="shared" si="6"/>
        <v>$mus</v>
      </c>
      <c r="U57" s="66" t="str">
        <f t="shared" si="7"/>
        <v>$coh</v>
      </c>
      <c r="V57" s="66" t="str">
        <f t="shared" si="8"/>
        <v>$Gc</v>
      </c>
      <c r="W57" s="66" t="str">
        <f t="shared" si="9"/>
        <v>$dropDrift</v>
      </c>
      <c r="X57" s="66" t="str">
        <f t="shared" si="10"/>
        <v>$muR</v>
      </c>
      <c r="Y57" s="66" t="str">
        <f t="shared" si="11"/>
        <v>-density</v>
      </c>
      <c r="Z57" s="66" t="str">
        <f t="shared" si="12"/>
        <v>$rho</v>
      </c>
      <c r="AA57" s="66" t="str">
        <f t="shared" si="20"/>
        <v>-pDelta</v>
      </c>
      <c r="AB57" s="66" t="str">
        <f t="shared" si="21"/>
        <v>-secantDamping</v>
      </c>
      <c r="AC57" s="66" t="str">
        <f t="shared" si="14"/>
        <v>-driftS</v>
      </c>
      <c r="AD57" s="66" t="str">
        <f t="shared" si="15"/>
        <v>$driftS</v>
      </c>
      <c r="AE57" s="66" t="str">
        <f t="shared" si="16"/>
        <v>0.8</v>
      </c>
      <c r="AF57" s="66" t="str">
        <f t="shared" si="17"/>
        <v>-driftF</v>
      </c>
      <c r="AG57" s="66" t="str">
        <f t="shared" si="18"/>
        <v>$driftF</v>
      </c>
      <c r="AH57" s="66" t="str">
        <f t="shared" si="19"/>
        <v>0.0</v>
      </c>
      <c r="AI57" s="66" t="str" cm="1">
        <f t="array" ref="AI57">TRIM(_xlfn.TEXTJOIN(CHAR(9),TRUE,B57:M57, TEXT(ROUND(N57:P57,3),"0.000"),Q57:AD57,TEXT(ROUND(AE57,1),"0.0"),AF57:AG57,TEXT(ROUND(AH57,1),"0.0")))</f>
        <v>element Macroelement3d	48	32	33	147	-1	0	0	0	1	0	-spandrel	1.200	1.550	0.600	$Eelement	$Gs	$fc	$mus	$coh	$Gc	$dropDrift	$muR	-density	$rho	-pDelta	-secantDamping	-driftS	$driftS	0.8	-driftF	$driftF	0.0</v>
      </c>
      <c r="AT57">
        <f t="shared" si="22"/>
        <v>1.1159999999999999</v>
      </c>
    </row>
    <row r="58" spans="1:46" x14ac:dyDescent="0.3">
      <c r="A58" s="66" t="s">
        <v>21</v>
      </c>
      <c r="B58" s="66" t="s">
        <v>48</v>
      </c>
      <c r="C58" s="68">
        <v>49</v>
      </c>
      <c r="D58" s="68">
        <v>33</v>
      </c>
      <c r="E58" s="68">
        <v>34</v>
      </c>
      <c r="F58" s="68">
        <v>148</v>
      </c>
      <c r="G58" s="68">
        <v>-1</v>
      </c>
      <c r="H58" s="68">
        <v>0</v>
      </c>
      <c r="I58" s="68">
        <v>0</v>
      </c>
      <c r="J58" s="68">
        <v>0</v>
      </c>
      <c r="K58" s="68">
        <v>1</v>
      </c>
      <c r="L58" s="68">
        <v>0</v>
      </c>
      <c r="M58" s="66" t="str">
        <f t="shared" si="2"/>
        <v>-spandrel</v>
      </c>
      <c r="N58" s="69">
        <v>1.2</v>
      </c>
      <c r="O58" s="69">
        <v>1.55</v>
      </c>
      <c r="P58" s="69">
        <v>0.6</v>
      </c>
      <c r="Q58" s="66" t="str">
        <f t="shared" si="3"/>
        <v>$Eelement</v>
      </c>
      <c r="R58" s="66" t="str">
        <f t="shared" si="4"/>
        <v>$Gs</v>
      </c>
      <c r="S58" s="66" t="str">
        <f t="shared" si="5"/>
        <v>$fc</v>
      </c>
      <c r="T58" s="66" t="str">
        <f t="shared" si="6"/>
        <v>$mus</v>
      </c>
      <c r="U58" s="66" t="str">
        <f t="shared" si="7"/>
        <v>$coh</v>
      </c>
      <c r="V58" s="66" t="str">
        <f t="shared" si="8"/>
        <v>$Gc</v>
      </c>
      <c r="W58" s="66" t="str">
        <f t="shared" si="9"/>
        <v>$dropDrift</v>
      </c>
      <c r="X58" s="66" t="str">
        <f t="shared" si="10"/>
        <v>$muR</v>
      </c>
      <c r="Y58" s="66" t="str">
        <f t="shared" si="11"/>
        <v>-density</v>
      </c>
      <c r="Z58" s="66" t="str">
        <f t="shared" si="12"/>
        <v>$rho</v>
      </c>
      <c r="AA58" s="66" t="str">
        <f t="shared" si="20"/>
        <v>-pDelta</v>
      </c>
      <c r="AB58" s="66" t="str">
        <f t="shared" si="21"/>
        <v>-secantDamping</v>
      </c>
      <c r="AC58" s="66" t="str">
        <f t="shared" si="14"/>
        <v>-driftS</v>
      </c>
      <c r="AD58" s="66" t="str">
        <f t="shared" si="15"/>
        <v>$driftS</v>
      </c>
      <c r="AE58" s="66" t="str">
        <f t="shared" si="16"/>
        <v>0.8</v>
      </c>
      <c r="AF58" s="66" t="str">
        <f t="shared" si="17"/>
        <v>-driftF</v>
      </c>
      <c r="AG58" s="66" t="str">
        <f t="shared" si="18"/>
        <v>$driftF</v>
      </c>
      <c r="AH58" s="66" t="str">
        <f t="shared" si="19"/>
        <v>0.0</v>
      </c>
      <c r="AI58" s="66" t="str" cm="1">
        <f t="array" ref="AI58">TRIM(_xlfn.TEXTJOIN(CHAR(9),TRUE,B58:M58, TEXT(ROUND(N58:P58,3),"0.000"),Q58:AD58,TEXT(ROUND(AE58,1),"0.0"),AF58:AG58,TEXT(ROUND(AH58,1),"0.0")))</f>
        <v>element Macroelement3d	49	33	34	148	-1	0	0	0	1	0	-spandrel	1.200	1.550	0.600	$Eelement	$Gs	$fc	$mus	$coh	$Gc	$dropDrift	$muR	-density	$rho	-pDelta	-secantDamping	-driftS	$driftS	0.8	-driftF	$driftF	0.0</v>
      </c>
      <c r="AT58">
        <f t="shared" si="22"/>
        <v>1.1159999999999999</v>
      </c>
    </row>
    <row r="59" spans="1:46" x14ac:dyDescent="0.3">
      <c r="A59" s="66" t="s">
        <v>21</v>
      </c>
      <c r="B59" s="66" t="s">
        <v>48</v>
      </c>
      <c r="C59" s="68">
        <v>50</v>
      </c>
      <c r="D59" s="68">
        <v>34</v>
      </c>
      <c r="E59" s="68">
        <v>35</v>
      </c>
      <c r="F59" s="68">
        <v>149</v>
      </c>
      <c r="G59" s="68">
        <v>-1</v>
      </c>
      <c r="H59" s="68">
        <v>0</v>
      </c>
      <c r="I59" s="68">
        <v>0</v>
      </c>
      <c r="J59" s="68">
        <v>0</v>
      </c>
      <c r="K59" s="68">
        <v>1</v>
      </c>
      <c r="L59" s="68">
        <v>0</v>
      </c>
      <c r="M59" s="66" t="str">
        <f t="shared" si="2"/>
        <v>-spandrel</v>
      </c>
      <c r="N59" s="69">
        <v>1.2</v>
      </c>
      <c r="O59" s="69">
        <v>1.55</v>
      </c>
      <c r="P59" s="69">
        <v>0.6</v>
      </c>
      <c r="Q59" s="66" t="str">
        <f t="shared" si="3"/>
        <v>$Eelement</v>
      </c>
      <c r="R59" s="66" t="str">
        <f t="shared" si="4"/>
        <v>$Gs</v>
      </c>
      <c r="S59" s="66" t="str">
        <f t="shared" si="5"/>
        <v>$fc</v>
      </c>
      <c r="T59" s="66" t="str">
        <f t="shared" si="6"/>
        <v>$mus</v>
      </c>
      <c r="U59" s="66" t="str">
        <f t="shared" si="7"/>
        <v>$coh</v>
      </c>
      <c r="V59" s="66" t="str">
        <f t="shared" si="8"/>
        <v>$Gc</v>
      </c>
      <c r="W59" s="66" t="str">
        <f t="shared" si="9"/>
        <v>$dropDrift</v>
      </c>
      <c r="X59" s="66" t="str">
        <f t="shared" si="10"/>
        <v>$muR</v>
      </c>
      <c r="Y59" s="66" t="str">
        <f t="shared" si="11"/>
        <v>-density</v>
      </c>
      <c r="Z59" s="66" t="str">
        <f t="shared" si="12"/>
        <v>$rho</v>
      </c>
      <c r="AA59" s="66" t="str">
        <f t="shared" si="20"/>
        <v>-pDelta</v>
      </c>
      <c r="AB59" s="66" t="str">
        <f t="shared" si="21"/>
        <v>-secantDamping</v>
      </c>
      <c r="AC59" s="66" t="str">
        <f t="shared" si="14"/>
        <v>-driftS</v>
      </c>
      <c r="AD59" s="66" t="str">
        <f t="shared" si="15"/>
        <v>$driftS</v>
      </c>
      <c r="AE59" s="66" t="str">
        <f t="shared" si="16"/>
        <v>0.8</v>
      </c>
      <c r="AF59" s="66" t="str">
        <f t="shared" si="17"/>
        <v>-driftF</v>
      </c>
      <c r="AG59" s="66" t="str">
        <f t="shared" si="18"/>
        <v>$driftF</v>
      </c>
      <c r="AH59" s="66" t="str">
        <f t="shared" si="19"/>
        <v>0.0</v>
      </c>
      <c r="AI59" s="66" t="str" cm="1">
        <f t="array" ref="AI59">TRIM(_xlfn.TEXTJOIN(CHAR(9),TRUE,B59:M59, TEXT(ROUND(N59:P59,3),"0.000"),Q59:AD59,TEXT(ROUND(AE59,1),"0.0"),AF59:AG59,TEXT(ROUND(AH59,1),"0.0")))</f>
        <v>element Macroelement3d	50	34	35	149	-1	0	0	0	1	0	-spandrel	1.200	1.550	0.600	$Eelement	$Gs	$fc	$mus	$coh	$Gc	$dropDrift	$muR	-density	$rho	-pDelta	-secantDamping	-driftS	$driftS	0.8	-driftF	$driftF	0.0</v>
      </c>
      <c r="AT59">
        <f t="shared" si="22"/>
        <v>1.1159999999999999</v>
      </c>
    </row>
    <row r="60" spans="1:46" x14ac:dyDescent="0.3">
      <c r="A60" s="66" t="s">
        <v>21</v>
      </c>
      <c r="B60" s="66" t="s">
        <v>48</v>
      </c>
      <c r="C60" s="68">
        <v>51</v>
      </c>
      <c r="D60" s="68">
        <v>78</v>
      </c>
      <c r="E60" s="68">
        <v>75</v>
      </c>
      <c r="F60" s="68">
        <v>150</v>
      </c>
      <c r="G60" s="68">
        <v>0</v>
      </c>
      <c r="H60" s="68">
        <v>0</v>
      </c>
      <c r="I60" s="68">
        <v>1</v>
      </c>
      <c r="J60" s="68">
        <v>0</v>
      </c>
      <c r="K60" s="68">
        <v>1</v>
      </c>
      <c r="L60" s="68">
        <v>0</v>
      </c>
      <c r="M60" s="66" t="str">
        <f t="shared" si="2"/>
        <v>-pier</v>
      </c>
      <c r="N60" s="69">
        <v>1.4</v>
      </c>
      <c r="O60" s="69">
        <v>2.08</v>
      </c>
      <c r="P60" s="69">
        <v>0.7</v>
      </c>
      <c r="Q60" s="66" t="str">
        <f t="shared" si="3"/>
        <v>$Eelement</v>
      </c>
      <c r="R60" s="66" t="str">
        <f t="shared" si="4"/>
        <v>$Gs</v>
      </c>
      <c r="S60" s="66" t="str">
        <f t="shared" si="5"/>
        <v>$fc</v>
      </c>
      <c r="T60" s="66" t="str">
        <f t="shared" si="6"/>
        <v>$mus</v>
      </c>
      <c r="U60" s="66" t="str">
        <f t="shared" si="7"/>
        <v>$coh</v>
      </c>
      <c r="V60" s="66" t="str">
        <f t="shared" si="8"/>
        <v>$Gc</v>
      </c>
      <c r="W60" s="66" t="str">
        <f t="shared" si="9"/>
        <v>$dropDrift</v>
      </c>
      <c r="X60" s="66" t="str">
        <f t="shared" si="10"/>
        <v>$muR</v>
      </c>
      <c r="Y60" s="66" t="str">
        <f t="shared" si="11"/>
        <v>-density</v>
      </c>
      <c r="Z60" s="66" t="str">
        <f t="shared" si="12"/>
        <v>$rho</v>
      </c>
      <c r="AA60" s="66" t="str">
        <f t="shared" si="20"/>
        <v>-pDelta</v>
      </c>
      <c r="AB60" s="66" t="str">
        <f t="shared" si="21"/>
        <v>-secantDamping</v>
      </c>
      <c r="AC60" s="66" t="str">
        <f t="shared" si="14"/>
        <v>-driftS</v>
      </c>
      <c r="AD60" s="66" t="str">
        <f t="shared" si="15"/>
        <v>$driftS</v>
      </c>
      <c r="AE60" s="66" t="str">
        <f t="shared" si="16"/>
        <v>0.8</v>
      </c>
      <c r="AF60" s="66" t="str">
        <f t="shared" si="17"/>
        <v>-driftF</v>
      </c>
      <c r="AG60" s="66" t="str">
        <f t="shared" si="18"/>
        <v>$driftF</v>
      </c>
      <c r="AH60" s="66" t="str">
        <f t="shared" si="19"/>
        <v>0.0</v>
      </c>
      <c r="AI60" s="66" t="str" cm="1">
        <f t="array" ref="AI60">TRIM(_xlfn.TEXTJOIN(CHAR(9),TRUE,B60:M60, TEXT(ROUND(N60:P60,3),"0.000"),Q60:AD60,TEXT(ROUND(AE60,1),"0.0"),AF60:AG60,TEXT(ROUND(AH60,1),"0.0")))</f>
        <v>element Macroelement3d	51	78	75	150	0	0	1	0	1	0	-pier	1.400	2.080	0.700	$Eelement	$Gs	$fc	$mus	$coh	$Gc	$dropDrift	$muR	-density	$rho	-pDelta	-secantDamping	-driftS	$driftS	0.8	-driftF	$driftF	0.0</v>
      </c>
      <c r="AT60">
        <f t="shared" si="22"/>
        <v>2.0383999999999998</v>
      </c>
    </row>
    <row r="61" spans="1:46" x14ac:dyDescent="0.3">
      <c r="A61" s="66" t="s">
        <v>21</v>
      </c>
      <c r="B61" s="66" t="s">
        <v>48</v>
      </c>
      <c r="C61" s="68">
        <v>52</v>
      </c>
      <c r="D61" s="68">
        <v>36</v>
      </c>
      <c r="E61" s="68">
        <v>32</v>
      </c>
      <c r="F61" s="68">
        <v>151</v>
      </c>
      <c r="G61" s="68">
        <v>0</v>
      </c>
      <c r="H61" s="68">
        <v>0</v>
      </c>
      <c r="I61" s="68">
        <v>1</v>
      </c>
      <c r="J61" s="68">
        <v>0</v>
      </c>
      <c r="K61" s="68">
        <v>1</v>
      </c>
      <c r="L61" s="68">
        <v>0</v>
      </c>
      <c r="M61" s="66" t="str">
        <f t="shared" si="2"/>
        <v>-pier</v>
      </c>
      <c r="N61" s="69">
        <v>1.4</v>
      </c>
      <c r="O61" s="69">
        <v>2.7</v>
      </c>
      <c r="P61" s="69">
        <v>0.7</v>
      </c>
      <c r="Q61" s="66" t="str">
        <f t="shared" si="3"/>
        <v>$Eelement</v>
      </c>
      <c r="R61" s="66" t="str">
        <f t="shared" si="4"/>
        <v>$Gs</v>
      </c>
      <c r="S61" s="66" t="str">
        <f t="shared" si="5"/>
        <v>$fc</v>
      </c>
      <c r="T61" s="66" t="str">
        <f t="shared" si="6"/>
        <v>$mus</v>
      </c>
      <c r="U61" s="66" t="str">
        <f t="shared" si="7"/>
        <v>$coh</v>
      </c>
      <c r="V61" s="66" t="str">
        <f t="shared" si="8"/>
        <v>$Gc</v>
      </c>
      <c r="W61" s="66" t="str">
        <f t="shared" si="9"/>
        <v>$dropDrift</v>
      </c>
      <c r="X61" s="66" t="str">
        <f t="shared" si="10"/>
        <v>$muR</v>
      </c>
      <c r="Y61" s="66" t="str">
        <f t="shared" si="11"/>
        <v>-density</v>
      </c>
      <c r="Z61" s="66" t="str">
        <f t="shared" si="12"/>
        <v>$rho</v>
      </c>
      <c r="AA61" s="66" t="str">
        <f t="shared" si="20"/>
        <v>-pDelta</v>
      </c>
      <c r="AB61" s="66" t="str">
        <f t="shared" si="21"/>
        <v>-secantDamping</v>
      </c>
      <c r="AC61" s="66" t="str">
        <f t="shared" si="14"/>
        <v>-driftS</v>
      </c>
      <c r="AD61" s="66" t="str">
        <f t="shared" si="15"/>
        <v>$driftS</v>
      </c>
      <c r="AE61" s="66" t="str">
        <f t="shared" si="16"/>
        <v>0.8</v>
      </c>
      <c r="AF61" s="66" t="str">
        <f t="shared" si="17"/>
        <v>-driftF</v>
      </c>
      <c r="AG61" s="66" t="str">
        <f t="shared" si="18"/>
        <v>$driftF</v>
      </c>
      <c r="AH61" s="66" t="str">
        <f t="shared" si="19"/>
        <v>0.0</v>
      </c>
      <c r="AI61" s="66" t="str" cm="1">
        <f t="array" ref="AI61">TRIM(_xlfn.TEXTJOIN(CHAR(9),TRUE,B61:M61, TEXT(ROUND(N61:P61,3),"0.000"),Q61:AD61,TEXT(ROUND(AE61,1),"0.0"),AF61:AG61,TEXT(ROUND(AH61,1),"0.0")))</f>
        <v>element Macroelement3d	52	36	32	151	0	0	1	0	1	0	-pier	1.400	2.700	0.700	$Eelement	$Gs	$fc	$mus	$coh	$Gc	$dropDrift	$muR	-density	$rho	-pDelta	-secantDamping	-driftS	$driftS	0.8	-driftF	$driftF	0.0</v>
      </c>
      <c r="AT61">
        <f t="shared" si="22"/>
        <v>2.6459999999999999</v>
      </c>
    </row>
    <row r="62" spans="1:46" x14ac:dyDescent="0.3">
      <c r="A62" s="66" t="s">
        <v>21</v>
      </c>
      <c r="B62" s="66" t="s">
        <v>48</v>
      </c>
      <c r="C62" s="68">
        <v>53</v>
      </c>
      <c r="D62" s="68">
        <v>37</v>
      </c>
      <c r="E62" s="68">
        <v>33</v>
      </c>
      <c r="F62" s="68">
        <v>152</v>
      </c>
      <c r="G62" s="68">
        <v>0</v>
      </c>
      <c r="H62" s="68">
        <v>0</v>
      </c>
      <c r="I62" s="68">
        <v>1</v>
      </c>
      <c r="J62" s="68">
        <v>0</v>
      </c>
      <c r="K62" s="68">
        <v>1</v>
      </c>
      <c r="L62" s="68">
        <v>0</v>
      </c>
      <c r="M62" s="66" t="str">
        <f t="shared" si="2"/>
        <v>-pier</v>
      </c>
      <c r="N62" s="69">
        <v>1.4</v>
      </c>
      <c r="O62" s="69">
        <v>2.8</v>
      </c>
      <c r="P62" s="69">
        <v>0.7</v>
      </c>
      <c r="Q62" s="66" t="str">
        <f t="shared" si="3"/>
        <v>$Eelement</v>
      </c>
      <c r="R62" s="66" t="str">
        <f t="shared" si="4"/>
        <v>$Gs</v>
      </c>
      <c r="S62" s="66" t="str">
        <f t="shared" si="5"/>
        <v>$fc</v>
      </c>
      <c r="T62" s="66" t="str">
        <f t="shared" si="6"/>
        <v>$mus</v>
      </c>
      <c r="U62" s="66" t="str">
        <f t="shared" si="7"/>
        <v>$coh</v>
      </c>
      <c r="V62" s="66" t="str">
        <f t="shared" si="8"/>
        <v>$Gc</v>
      </c>
      <c r="W62" s="66" t="str">
        <f t="shared" si="9"/>
        <v>$dropDrift</v>
      </c>
      <c r="X62" s="66" t="str">
        <f t="shared" si="10"/>
        <v>$muR</v>
      </c>
      <c r="Y62" s="66" t="str">
        <f t="shared" si="11"/>
        <v>-density</v>
      </c>
      <c r="Z62" s="66" t="str">
        <f t="shared" si="12"/>
        <v>$rho</v>
      </c>
      <c r="AA62" s="66" t="str">
        <f t="shared" si="20"/>
        <v>-pDelta</v>
      </c>
      <c r="AB62" s="66" t="str">
        <f t="shared" si="21"/>
        <v>-secantDamping</v>
      </c>
      <c r="AC62" s="66" t="str">
        <f t="shared" si="14"/>
        <v>-driftS</v>
      </c>
      <c r="AD62" s="66" t="str">
        <f t="shared" si="15"/>
        <v>$driftS</v>
      </c>
      <c r="AE62" s="66" t="str">
        <f t="shared" si="16"/>
        <v>0.8</v>
      </c>
      <c r="AF62" s="66" t="str">
        <f t="shared" si="17"/>
        <v>-driftF</v>
      </c>
      <c r="AG62" s="66" t="str">
        <f t="shared" si="18"/>
        <v>$driftF</v>
      </c>
      <c r="AH62" s="66" t="str">
        <f t="shared" si="19"/>
        <v>0.0</v>
      </c>
      <c r="AI62" s="66" t="str" cm="1">
        <f t="array" ref="AI62">TRIM(_xlfn.TEXTJOIN(CHAR(9),TRUE,B62:M62, TEXT(ROUND(N62:P62,3),"0.000"),Q62:AD62,TEXT(ROUND(AE62,1),"0.0"),AF62:AG62,TEXT(ROUND(AH62,1),"0.0")))</f>
        <v>element Macroelement3d	53	37	33	152	0	0	1	0	1	0	-pier	1.400	2.800	0.700	$Eelement	$Gs	$fc	$mus	$coh	$Gc	$dropDrift	$muR	-density	$rho	-pDelta	-secantDamping	-driftS	$driftS	0.8	-driftF	$driftF	0.0</v>
      </c>
      <c r="AT62">
        <f t="shared" si="22"/>
        <v>2.7439999999999993</v>
      </c>
    </row>
    <row r="63" spans="1:46" x14ac:dyDescent="0.3">
      <c r="A63" s="66" t="s">
        <v>21</v>
      </c>
      <c r="B63" s="66" t="s">
        <v>48</v>
      </c>
      <c r="C63" s="68">
        <v>54</v>
      </c>
      <c r="D63" s="68">
        <v>38</v>
      </c>
      <c r="E63" s="68">
        <v>34</v>
      </c>
      <c r="F63" s="68">
        <v>153</v>
      </c>
      <c r="G63" s="68">
        <v>0</v>
      </c>
      <c r="H63" s="68">
        <v>0</v>
      </c>
      <c r="I63" s="68">
        <v>1</v>
      </c>
      <c r="J63" s="68">
        <v>0</v>
      </c>
      <c r="K63" s="68">
        <v>1</v>
      </c>
      <c r="L63" s="68">
        <v>0</v>
      </c>
      <c r="M63" s="66" t="str">
        <f t="shared" si="2"/>
        <v>-pier</v>
      </c>
      <c r="N63" s="69">
        <v>1.4</v>
      </c>
      <c r="O63" s="69">
        <v>2.7</v>
      </c>
      <c r="P63" s="69">
        <v>0.7</v>
      </c>
      <c r="Q63" s="66" t="str">
        <f t="shared" si="3"/>
        <v>$Eelement</v>
      </c>
      <c r="R63" s="66" t="str">
        <f t="shared" si="4"/>
        <v>$Gs</v>
      </c>
      <c r="S63" s="66" t="str">
        <f t="shared" si="5"/>
        <v>$fc</v>
      </c>
      <c r="T63" s="66" t="str">
        <f t="shared" si="6"/>
        <v>$mus</v>
      </c>
      <c r="U63" s="66" t="str">
        <f t="shared" si="7"/>
        <v>$coh</v>
      </c>
      <c r="V63" s="66" t="str">
        <f t="shared" si="8"/>
        <v>$Gc</v>
      </c>
      <c r="W63" s="66" t="str">
        <f t="shared" si="9"/>
        <v>$dropDrift</v>
      </c>
      <c r="X63" s="66" t="str">
        <f t="shared" si="10"/>
        <v>$muR</v>
      </c>
      <c r="Y63" s="66" t="str">
        <f t="shared" si="11"/>
        <v>-density</v>
      </c>
      <c r="Z63" s="66" t="str">
        <f t="shared" si="12"/>
        <v>$rho</v>
      </c>
      <c r="AA63" s="66" t="str">
        <f t="shared" si="20"/>
        <v>-pDelta</v>
      </c>
      <c r="AB63" s="66" t="str">
        <f t="shared" si="21"/>
        <v>-secantDamping</v>
      </c>
      <c r="AC63" s="66" t="str">
        <f t="shared" si="14"/>
        <v>-driftS</v>
      </c>
      <c r="AD63" s="66" t="str">
        <f t="shared" si="15"/>
        <v>$driftS</v>
      </c>
      <c r="AE63" s="66" t="str">
        <f t="shared" si="16"/>
        <v>0.8</v>
      </c>
      <c r="AF63" s="66" t="str">
        <f t="shared" si="17"/>
        <v>-driftF</v>
      </c>
      <c r="AG63" s="66" t="str">
        <f t="shared" si="18"/>
        <v>$driftF</v>
      </c>
      <c r="AH63" s="66" t="str">
        <f t="shared" si="19"/>
        <v>0.0</v>
      </c>
      <c r="AI63" s="66" t="str" cm="1">
        <f t="array" ref="AI63">TRIM(_xlfn.TEXTJOIN(CHAR(9),TRUE,B63:M63, TEXT(ROUND(N63:P63,3),"0.000"),Q63:AD63,TEXT(ROUND(AE63,1),"0.0"),AF63:AG63,TEXT(ROUND(AH63,1),"0.0")))</f>
        <v>element Macroelement3d	54	38	34	153	0	0	1	0	1	0	-pier	1.400	2.700	0.700	$Eelement	$Gs	$fc	$mus	$coh	$Gc	$dropDrift	$muR	-density	$rho	-pDelta	-secantDamping	-driftS	$driftS	0.8	-driftF	$driftF	0.0</v>
      </c>
      <c r="AT63">
        <f t="shared" si="22"/>
        <v>2.6459999999999999</v>
      </c>
    </row>
    <row r="64" spans="1:46" x14ac:dyDescent="0.3">
      <c r="A64" s="66" t="s">
        <v>21</v>
      </c>
      <c r="B64" s="66" t="s">
        <v>48</v>
      </c>
      <c r="C64" s="68">
        <v>55</v>
      </c>
      <c r="D64" s="68">
        <v>39</v>
      </c>
      <c r="E64" s="68">
        <v>35</v>
      </c>
      <c r="F64" s="68">
        <v>154</v>
      </c>
      <c r="G64" s="68">
        <v>0</v>
      </c>
      <c r="H64" s="68">
        <v>0</v>
      </c>
      <c r="I64" s="68">
        <v>1</v>
      </c>
      <c r="J64" s="68">
        <v>0</v>
      </c>
      <c r="K64" s="68">
        <v>1</v>
      </c>
      <c r="L64" s="68">
        <v>0</v>
      </c>
      <c r="M64" s="66" t="str">
        <f t="shared" si="2"/>
        <v>-pier</v>
      </c>
      <c r="N64" s="69">
        <v>1.4</v>
      </c>
      <c r="O64" s="69">
        <v>2.08</v>
      </c>
      <c r="P64" s="69">
        <v>0.7</v>
      </c>
      <c r="Q64" s="66" t="str">
        <f t="shared" si="3"/>
        <v>$Eelement</v>
      </c>
      <c r="R64" s="66" t="str">
        <f t="shared" si="4"/>
        <v>$Gs</v>
      </c>
      <c r="S64" s="66" t="str">
        <f t="shared" si="5"/>
        <v>$fc</v>
      </c>
      <c r="T64" s="66" t="str">
        <f t="shared" si="6"/>
        <v>$mus</v>
      </c>
      <c r="U64" s="66" t="str">
        <f t="shared" si="7"/>
        <v>$coh</v>
      </c>
      <c r="V64" s="66" t="str">
        <f t="shared" si="8"/>
        <v>$Gc</v>
      </c>
      <c r="W64" s="66" t="str">
        <f t="shared" si="9"/>
        <v>$dropDrift</v>
      </c>
      <c r="X64" s="66" t="str">
        <f t="shared" si="10"/>
        <v>$muR</v>
      </c>
      <c r="Y64" s="66" t="str">
        <f t="shared" si="11"/>
        <v>-density</v>
      </c>
      <c r="Z64" s="66" t="str">
        <f t="shared" si="12"/>
        <v>$rho</v>
      </c>
      <c r="AA64" s="66" t="str">
        <f t="shared" si="20"/>
        <v>-pDelta</v>
      </c>
      <c r="AB64" s="66" t="str">
        <f t="shared" si="21"/>
        <v>-secantDamping</v>
      </c>
      <c r="AC64" s="66" t="str">
        <f t="shared" si="14"/>
        <v>-driftS</v>
      </c>
      <c r="AD64" s="66" t="str">
        <f t="shared" si="15"/>
        <v>$driftS</v>
      </c>
      <c r="AE64" s="66" t="str">
        <f t="shared" si="16"/>
        <v>0.8</v>
      </c>
      <c r="AF64" s="66" t="str">
        <f t="shared" si="17"/>
        <v>-driftF</v>
      </c>
      <c r="AG64" s="66" t="str">
        <f t="shared" si="18"/>
        <v>$driftF</v>
      </c>
      <c r="AH64" s="66" t="str">
        <f t="shared" si="19"/>
        <v>0.0</v>
      </c>
      <c r="AI64" s="66" t="str" cm="1">
        <f t="array" ref="AI64">TRIM(_xlfn.TEXTJOIN(CHAR(9),TRUE,B64:M64, TEXT(ROUND(N64:P64,3),"0.000"),Q64:AD64,TEXT(ROUND(AE64,1),"0.0"),AF64:AG64,TEXT(ROUND(AH64,1),"0.0")))</f>
        <v>element Macroelement3d	55	39	35	154	0	0	1	0	1	0	-pier	1.400	2.080	0.700	$Eelement	$Gs	$fc	$mus	$coh	$Gc	$dropDrift	$muR	-density	$rho	-pDelta	-secantDamping	-driftS	$driftS	0.8	-driftF	$driftF	0.0</v>
      </c>
      <c r="AT64">
        <f t="shared" si="22"/>
        <v>2.0383999999999998</v>
      </c>
    </row>
    <row r="65" spans="1:46" x14ac:dyDescent="0.3">
      <c r="A65" s="66" t="s">
        <v>21</v>
      </c>
      <c r="B65" s="66" t="s">
        <v>48</v>
      </c>
      <c r="C65" s="68">
        <v>56</v>
      </c>
      <c r="D65" s="68">
        <v>78</v>
      </c>
      <c r="E65" s="68">
        <v>36</v>
      </c>
      <c r="F65" s="68">
        <v>155</v>
      </c>
      <c r="G65" s="68">
        <v>-1</v>
      </c>
      <c r="H65" s="68">
        <v>0</v>
      </c>
      <c r="I65" s="68">
        <v>0</v>
      </c>
      <c r="J65" s="68">
        <v>0</v>
      </c>
      <c r="K65" s="68">
        <v>1</v>
      </c>
      <c r="L65" s="68">
        <v>0</v>
      </c>
      <c r="M65" s="66" t="str">
        <f t="shared" si="2"/>
        <v>-spandrel</v>
      </c>
      <c r="N65" s="69">
        <v>1.2</v>
      </c>
      <c r="O65" s="69">
        <v>0.8</v>
      </c>
      <c r="P65" s="69">
        <v>0.7</v>
      </c>
      <c r="Q65" s="66" t="str">
        <f t="shared" si="3"/>
        <v>$Eelement</v>
      </c>
      <c r="R65" s="66" t="str">
        <f t="shared" si="4"/>
        <v>$Gs</v>
      </c>
      <c r="S65" s="66" t="str">
        <f t="shared" si="5"/>
        <v>$fc</v>
      </c>
      <c r="T65" s="66" t="str">
        <f t="shared" si="6"/>
        <v>$mus</v>
      </c>
      <c r="U65" s="66" t="str">
        <f t="shared" si="7"/>
        <v>$coh</v>
      </c>
      <c r="V65" s="66" t="str">
        <f t="shared" si="8"/>
        <v>$Gc</v>
      </c>
      <c r="W65" s="66" t="str">
        <f t="shared" si="9"/>
        <v>$dropDrift</v>
      </c>
      <c r="X65" s="66" t="str">
        <f t="shared" si="10"/>
        <v>$muR</v>
      </c>
      <c r="Y65" s="66" t="str">
        <f t="shared" si="11"/>
        <v>-density</v>
      </c>
      <c r="Z65" s="66" t="str">
        <f t="shared" si="12"/>
        <v>$rho</v>
      </c>
      <c r="AA65" s="66" t="str">
        <f t="shared" si="20"/>
        <v>-pDelta</v>
      </c>
      <c r="AB65" s="66" t="str">
        <f t="shared" si="21"/>
        <v>-secantDamping</v>
      </c>
      <c r="AC65" s="66" t="str">
        <f t="shared" si="14"/>
        <v>-driftS</v>
      </c>
      <c r="AD65" s="66" t="str">
        <f t="shared" si="15"/>
        <v>$driftS</v>
      </c>
      <c r="AE65" s="66" t="str">
        <f t="shared" si="16"/>
        <v>0.8</v>
      </c>
      <c r="AF65" s="66" t="str">
        <f t="shared" si="17"/>
        <v>-driftF</v>
      </c>
      <c r="AG65" s="66" t="str">
        <f t="shared" si="18"/>
        <v>$driftF</v>
      </c>
      <c r="AH65" s="66" t="str">
        <f t="shared" si="19"/>
        <v>0.0</v>
      </c>
      <c r="AI65" s="66" t="str" cm="1">
        <f t="array" ref="AI65">TRIM(_xlfn.TEXTJOIN(CHAR(9),TRUE,B65:M65, TEXT(ROUND(N65:P65,3),"0.000"),Q65:AD65,TEXT(ROUND(AE65,1),"0.0"),AF65:AG65,TEXT(ROUND(AH65,1),"0.0")))</f>
        <v>element Macroelement3d	56	78	36	155	-1	0	0	0	1	0	-spandrel	1.200	0.800	0.700	$Eelement	$Gs	$fc	$mus	$coh	$Gc	$dropDrift	$muR	-density	$rho	-pDelta	-secantDamping	-driftS	$driftS	0.8	-driftF	$driftF	0.0</v>
      </c>
      <c r="AT65">
        <f t="shared" si="22"/>
        <v>0.67199999999999993</v>
      </c>
    </row>
    <row r="66" spans="1:46" x14ac:dyDescent="0.3">
      <c r="A66" s="66" t="s">
        <v>21</v>
      </c>
      <c r="B66" s="66" t="s">
        <v>48</v>
      </c>
      <c r="C66" s="68">
        <v>57</v>
      </c>
      <c r="D66" s="68">
        <v>36</v>
      </c>
      <c r="E66" s="68">
        <v>37</v>
      </c>
      <c r="F66" s="68">
        <v>156</v>
      </c>
      <c r="G66" s="68">
        <v>-1</v>
      </c>
      <c r="H66" s="68">
        <v>0</v>
      </c>
      <c r="I66" s="68">
        <v>0</v>
      </c>
      <c r="J66" s="68">
        <v>0</v>
      </c>
      <c r="K66" s="68">
        <v>1</v>
      </c>
      <c r="L66" s="68">
        <v>0</v>
      </c>
      <c r="M66" s="66" t="str">
        <f t="shared" si="2"/>
        <v>-spandrel</v>
      </c>
      <c r="N66" s="69">
        <v>1.2</v>
      </c>
      <c r="O66" s="69">
        <v>0.8</v>
      </c>
      <c r="P66" s="69">
        <v>0.7</v>
      </c>
      <c r="Q66" s="66" t="str">
        <f t="shared" si="3"/>
        <v>$Eelement</v>
      </c>
      <c r="R66" s="66" t="str">
        <f t="shared" si="4"/>
        <v>$Gs</v>
      </c>
      <c r="S66" s="66" t="str">
        <f t="shared" si="5"/>
        <v>$fc</v>
      </c>
      <c r="T66" s="66" t="str">
        <f t="shared" si="6"/>
        <v>$mus</v>
      </c>
      <c r="U66" s="66" t="str">
        <f t="shared" si="7"/>
        <v>$coh</v>
      </c>
      <c r="V66" s="66" t="str">
        <f t="shared" si="8"/>
        <v>$Gc</v>
      </c>
      <c r="W66" s="66" t="str">
        <f t="shared" si="9"/>
        <v>$dropDrift</v>
      </c>
      <c r="X66" s="66" t="str">
        <f t="shared" si="10"/>
        <v>$muR</v>
      </c>
      <c r="Y66" s="66" t="str">
        <f t="shared" si="11"/>
        <v>-density</v>
      </c>
      <c r="Z66" s="66" t="str">
        <f t="shared" si="12"/>
        <v>$rho</v>
      </c>
      <c r="AA66" s="66" t="str">
        <f t="shared" si="20"/>
        <v>-pDelta</v>
      </c>
      <c r="AB66" s="66" t="str">
        <f t="shared" si="21"/>
        <v>-secantDamping</v>
      </c>
      <c r="AC66" s="66" t="str">
        <f t="shared" si="14"/>
        <v>-driftS</v>
      </c>
      <c r="AD66" s="66" t="str">
        <f t="shared" si="15"/>
        <v>$driftS</v>
      </c>
      <c r="AE66" s="66" t="str">
        <f t="shared" si="16"/>
        <v>0.8</v>
      </c>
      <c r="AF66" s="66" t="str">
        <f t="shared" si="17"/>
        <v>-driftF</v>
      </c>
      <c r="AG66" s="66" t="str">
        <f t="shared" si="18"/>
        <v>$driftF</v>
      </c>
      <c r="AH66" s="66" t="str">
        <f t="shared" si="19"/>
        <v>0.0</v>
      </c>
      <c r="AI66" s="66" t="str" cm="1">
        <f t="array" ref="AI66">TRIM(_xlfn.TEXTJOIN(CHAR(9),TRUE,B66:M66, TEXT(ROUND(N66:P66,3),"0.000"),Q66:AD66,TEXT(ROUND(AE66,1),"0.0"),AF66:AG66,TEXT(ROUND(AH66,1),"0.0")))</f>
        <v>element Macroelement3d	57	36	37	156	-1	0	0	0	1	0	-spandrel	1.200	0.800	0.700	$Eelement	$Gs	$fc	$mus	$coh	$Gc	$dropDrift	$muR	-density	$rho	-pDelta	-secantDamping	-driftS	$driftS	0.8	-driftF	$driftF	0.0</v>
      </c>
      <c r="AT66">
        <f t="shared" si="22"/>
        <v>0.67199999999999993</v>
      </c>
    </row>
    <row r="67" spans="1:46" x14ac:dyDescent="0.3">
      <c r="A67" s="66" t="s">
        <v>21</v>
      </c>
      <c r="B67" s="66" t="s">
        <v>48</v>
      </c>
      <c r="C67" s="68">
        <v>58</v>
      </c>
      <c r="D67" s="68">
        <v>37</v>
      </c>
      <c r="E67" s="68">
        <v>38</v>
      </c>
      <c r="F67" s="68">
        <v>157</v>
      </c>
      <c r="G67" s="68">
        <v>-1</v>
      </c>
      <c r="H67" s="68">
        <v>0</v>
      </c>
      <c r="I67" s="68">
        <v>0</v>
      </c>
      <c r="J67" s="68">
        <v>0</v>
      </c>
      <c r="K67" s="68">
        <v>1</v>
      </c>
      <c r="L67" s="68">
        <v>0</v>
      </c>
      <c r="M67" s="66" t="str">
        <f t="shared" si="2"/>
        <v>-spandrel</v>
      </c>
      <c r="N67" s="69">
        <v>1.2</v>
      </c>
      <c r="O67" s="69">
        <v>0.8</v>
      </c>
      <c r="P67" s="69">
        <v>0.7</v>
      </c>
      <c r="Q67" s="66" t="str">
        <f t="shared" si="3"/>
        <v>$Eelement</v>
      </c>
      <c r="R67" s="66" t="str">
        <f t="shared" si="4"/>
        <v>$Gs</v>
      </c>
      <c r="S67" s="66" t="str">
        <f t="shared" si="5"/>
        <v>$fc</v>
      </c>
      <c r="T67" s="66" t="str">
        <f t="shared" si="6"/>
        <v>$mus</v>
      </c>
      <c r="U67" s="66" t="str">
        <f t="shared" si="7"/>
        <v>$coh</v>
      </c>
      <c r="V67" s="66" t="str">
        <f t="shared" si="8"/>
        <v>$Gc</v>
      </c>
      <c r="W67" s="66" t="str">
        <f t="shared" si="9"/>
        <v>$dropDrift</v>
      </c>
      <c r="X67" s="66" t="str">
        <f t="shared" si="10"/>
        <v>$muR</v>
      </c>
      <c r="Y67" s="66" t="str">
        <f t="shared" si="11"/>
        <v>-density</v>
      </c>
      <c r="Z67" s="66" t="str">
        <f t="shared" si="12"/>
        <v>$rho</v>
      </c>
      <c r="AA67" s="66" t="str">
        <f t="shared" si="20"/>
        <v>-pDelta</v>
      </c>
      <c r="AB67" s="66" t="str">
        <f t="shared" si="21"/>
        <v>-secantDamping</v>
      </c>
      <c r="AC67" s="66" t="str">
        <f t="shared" si="14"/>
        <v>-driftS</v>
      </c>
      <c r="AD67" s="66" t="str">
        <f t="shared" si="15"/>
        <v>$driftS</v>
      </c>
      <c r="AE67" s="66" t="str">
        <f t="shared" si="16"/>
        <v>0.8</v>
      </c>
      <c r="AF67" s="66" t="str">
        <f t="shared" si="17"/>
        <v>-driftF</v>
      </c>
      <c r="AG67" s="66" t="str">
        <f t="shared" si="18"/>
        <v>$driftF</v>
      </c>
      <c r="AH67" s="66" t="str">
        <f t="shared" si="19"/>
        <v>0.0</v>
      </c>
      <c r="AI67" s="66" t="str" cm="1">
        <f t="array" ref="AI67">TRIM(_xlfn.TEXTJOIN(CHAR(9),TRUE,B67:M67, TEXT(ROUND(N67:P67,3),"0.000"),Q67:AD67,TEXT(ROUND(AE67,1),"0.0"),AF67:AG67,TEXT(ROUND(AH67,1),"0.0")))</f>
        <v>element Macroelement3d	58	37	38	157	-1	0	0	0	1	0	-spandrel	1.200	0.800	0.700	$Eelement	$Gs	$fc	$mus	$coh	$Gc	$dropDrift	$muR	-density	$rho	-pDelta	-secantDamping	-driftS	$driftS	0.8	-driftF	$driftF	0.0</v>
      </c>
      <c r="AT67">
        <f t="shared" si="22"/>
        <v>0.67199999999999993</v>
      </c>
    </row>
    <row r="68" spans="1:46" x14ac:dyDescent="0.3">
      <c r="A68" s="66" t="s">
        <v>21</v>
      </c>
      <c r="B68" s="66" t="s">
        <v>48</v>
      </c>
      <c r="C68" s="68">
        <v>59</v>
      </c>
      <c r="D68" s="68">
        <v>38</v>
      </c>
      <c r="E68" s="68">
        <v>39</v>
      </c>
      <c r="F68" s="68">
        <v>158</v>
      </c>
      <c r="G68" s="68">
        <v>-1</v>
      </c>
      <c r="H68" s="68">
        <v>0</v>
      </c>
      <c r="I68" s="68">
        <v>0</v>
      </c>
      <c r="J68" s="68">
        <v>0</v>
      </c>
      <c r="K68" s="68">
        <v>1</v>
      </c>
      <c r="L68" s="68">
        <v>0</v>
      </c>
      <c r="M68" s="66" t="str">
        <f t="shared" si="2"/>
        <v>-spandrel</v>
      </c>
      <c r="N68" s="69">
        <v>1.2</v>
      </c>
      <c r="O68" s="69">
        <v>0.8</v>
      </c>
      <c r="P68" s="69">
        <v>0.7</v>
      </c>
      <c r="Q68" s="66" t="str">
        <f t="shared" si="3"/>
        <v>$Eelement</v>
      </c>
      <c r="R68" s="66" t="str">
        <f t="shared" si="4"/>
        <v>$Gs</v>
      </c>
      <c r="S68" s="66" t="str">
        <f t="shared" si="5"/>
        <v>$fc</v>
      </c>
      <c r="T68" s="66" t="str">
        <f t="shared" si="6"/>
        <v>$mus</v>
      </c>
      <c r="U68" s="66" t="str">
        <f t="shared" si="7"/>
        <v>$coh</v>
      </c>
      <c r="V68" s="66" t="str">
        <f t="shared" si="8"/>
        <v>$Gc</v>
      </c>
      <c r="W68" s="66" t="str">
        <f t="shared" si="9"/>
        <v>$dropDrift</v>
      </c>
      <c r="X68" s="66" t="str">
        <f t="shared" si="10"/>
        <v>$muR</v>
      </c>
      <c r="Y68" s="66" t="str">
        <f t="shared" si="11"/>
        <v>-density</v>
      </c>
      <c r="Z68" s="66" t="str">
        <f t="shared" si="12"/>
        <v>$rho</v>
      </c>
      <c r="AA68" s="66" t="str">
        <f t="shared" si="20"/>
        <v>-pDelta</v>
      </c>
      <c r="AB68" s="66" t="str">
        <f t="shared" si="21"/>
        <v>-secantDamping</v>
      </c>
      <c r="AC68" s="66" t="str">
        <f t="shared" si="14"/>
        <v>-driftS</v>
      </c>
      <c r="AD68" s="66" t="str">
        <f t="shared" si="15"/>
        <v>$driftS</v>
      </c>
      <c r="AE68" s="66" t="str">
        <f t="shared" si="16"/>
        <v>0.8</v>
      </c>
      <c r="AF68" s="66" t="str">
        <f t="shared" si="17"/>
        <v>-driftF</v>
      </c>
      <c r="AG68" s="66" t="str">
        <f t="shared" si="18"/>
        <v>$driftF</v>
      </c>
      <c r="AH68" s="66" t="str">
        <f t="shared" si="19"/>
        <v>0.0</v>
      </c>
      <c r="AI68" s="66" t="str" cm="1">
        <f t="array" ref="AI68">TRIM(_xlfn.TEXTJOIN(CHAR(9),TRUE,B68:M68, TEXT(ROUND(N68:P68,3),"0.000"),Q68:AD68,TEXT(ROUND(AE68,1),"0.0"),AF68:AG68,TEXT(ROUND(AH68,1),"0.0")))</f>
        <v>element Macroelement3d	59	38	39	158	-1	0	0	0	1	0	-spandrel	1.200	0.800	0.700	$Eelement	$Gs	$fc	$mus	$coh	$Gc	$dropDrift	$muR	-density	$rho	-pDelta	-secantDamping	-driftS	$driftS	0.8	-driftF	$driftF	0.0</v>
      </c>
      <c r="AT68">
        <f t="shared" si="22"/>
        <v>0.67199999999999993</v>
      </c>
    </row>
    <row r="69" spans="1:46" x14ac:dyDescent="0.3">
      <c r="C69" s="29"/>
      <c r="D69" s="29"/>
      <c r="E69" s="29"/>
      <c r="F69" s="29"/>
      <c r="G69" s="29"/>
      <c r="H69" s="29"/>
      <c r="I69" s="29"/>
      <c r="J69" s="29"/>
      <c r="K69" s="29"/>
      <c r="L69" s="29"/>
      <c r="N69" s="2"/>
      <c r="O69" s="2"/>
      <c r="P69" s="2"/>
      <c r="Q69" t="str">
        <f t="shared" si="3"/>
        <v/>
      </c>
      <c r="R69" t="str">
        <f t="shared" si="4"/>
        <v/>
      </c>
      <c r="S69" t="str">
        <f t="shared" si="5"/>
        <v/>
      </c>
      <c r="T69" t="str">
        <f t="shared" si="6"/>
        <v/>
      </c>
      <c r="U69" t="str">
        <f t="shared" si="7"/>
        <v/>
      </c>
      <c r="V69" t="str">
        <f t="shared" si="8"/>
        <v/>
      </c>
      <c r="W69" t="str">
        <f t="shared" si="9"/>
        <v/>
      </c>
      <c r="X69" t="str">
        <f t="shared" si="10"/>
        <v/>
      </c>
      <c r="Y69" t="str">
        <f t="shared" si="11"/>
        <v/>
      </c>
      <c r="Z69" t="str">
        <f t="shared" si="12"/>
        <v/>
      </c>
      <c r="AA69" t="str">
        <f t="shared" si="20"/>
        <v/>
      </c>
      <c r="AB69" t="str">
        <f t="shared" si="21"/>
        <v/>
      </c>
      <c r="AC69" t="str">
        <f t="shared" si="14"/>
        <v/>
      </c>
      <c r="AD69" t="str">
        <f t="shared" si="15"/>
        <v/>
      </c>
      <c r="AE69" t="str">
        <f t="shared" si="16"/>
        <v/>
      </c>
      <c r="AF69" t="str">
        <f t="shared" si="17"/>
        <v/>
      </c>
      <c r="AG69" t="str">
        <f t="shared" si="18"/>
        <v/>
      </c>
      <c r="AH69" t="str">
        <f t="shared" si="19"/>
        <v/>
      </c>
      <c r="AT69" t="str">
        <f t="shared" si="22"/>
        <v/>
      </c>
    </row>
    <row r="70" spans="1:46" s="38" customFormat="1" x14ac:dyDescent="0.3">
      <c r="A70" s="138" t="s">
        <v>45</v>
      </c>
      <c r="B70" s="138" t="s">
        <v>5</v>
      </c>
      <c r="C70" s="139"/>
      <c r="Q70" s="38" t="str">
        <f t="shared" si="3"/>
        <v/>
      </c>
      <c r="R70" s="38" t="str">
        <f t="shared" si="4"/>
        <v/>
      </c>
      <c r="S70" s="38" t="str">
        <f t="shared" si="5"/>
        <v/>
      </c>
      <c r="T70" s="38" t="str">
        <f t="shared" si="6"/>
        <v/>
      </c>
      <c r="U70" s="38" t="str">
        <f t="shared" si="7"/>
        <v/>
      </c>
      <c r="V70" s="38" t="str">
        <f t="shared" si="8"/>
        <v/>
      </c>
      <c r="W70" s="38" t="str">
        <f t="shared" si="9"/>
        <v/>
      </c>
      <c r="X70" s="38" t="str">
        <f t="shared" si="10"/>
        <v/>
      </c>
      <c r="Y70" s="38" t="str">
        <f t="shared" si="11"/>
        <v/>
      </c>
      <c r="Z70" s="38" t="str">
        <f t="shared" si="12"/>
        <v/>
      </c>
      <c r="AA70" s="38" t="str">
        <f t="shared" si="20"/>
        <v/>
      </c>
      <c r="AB70" s="38" t="str">
        <f t="shared" si="21"/>
        <v/>
      </c>
      <c r="AC70" s="38" t="str">
        <f t="shared" si="14"/>
        <v/>
      </c>
      <c r="AD70" s="38" t="str">
        <f t="shared" si="15"/>
        <v/>
      </c>
      <c r="AE70" s="38" t="str">
        <f t="shared" si="16"/>
        <v/>
      </c>
      <c r="AF70" s="38" t="str">
        <f t="shared" si="17"/>
        <v/>
      </c>
      <c r="AG70" s="38" t="str">
        <f t="shared" si="18"/>
        <v/>
      </c>
      <c r="AH70" s="38" t="str">
        <f t="shared" si="19"/>
        <v/>
      </c>
      <c r="AI70" s="38" t="str">
        <f>TRIM(_xlfn.TEXTJOIN(CHAR(9),TRUE,B70:AA70))</f>
        <v>#Wall 4</v>
      </c>
      <c r="AT70" s="38" t="str">
        <f t="shared" si="22"/>
        <v/>
      </c>
    </row>
    <row r="71" spans="1:46" x14ac:dyDescent="0.3">
      <c r="A71" s="66" t="s">
        <v>21</v>
      </c>
      <c r="B71" s="66" t="s">
        <v>48</v>
      </c>
      <c r="C71" s="68">
        <v>60</v>
      </c>
      <c r="D71" s="68">
        <v>81</v>
      </c>
      <c r="E71" s="68">
        <v>40</v>
      </c>
      <c r="F71" s="68">
        <v>159</v>
      </c>
      <c r="G71" s="68">
        <v>0</v>
      </c>
      <c r="H71" s="68">
        <v>-1</v>
      </c>
      <c r="I71" s="68">
        <v>0</v>
      </c>
      <c r="J71" s="68">
        <v>-1</v>
      </c>
      <c r="K71" s="68">
        <v>0</v>
      </c>
      <c r="L71" s="68">
        <v>0</v>
      </c>
      <c r="M71" s="66" t="str">
        <f t="shared" si="2"/>
        <v>-spandrel</v>
      </c>
      <c r="N71" s="69">
        <v>1.2</v>
      </c>
      <c r="O71" s="69">
        <v>0.65</v>
      </c>
      <c r="P71" s="69">
        <v>0.55000000000000004</v>
      </c>
      <c r="Q71" s="66" t="str">
        <f t="shared" si="3"/>
        <v>$Eelement</v>
      </c>
      <c r="R71" s="66" t="str">
        <f t="shared" si="4"/>
        <v>$Gs</v>
      </c>
      <c r="S71" s="66" t="str">
        <f t="shared" si="5"/>
        <v>$fc</v>
      </c>
      <c r="T71" s="66" t="str">
        <f t="shared" si="6"/>
        <v>$mus</v>
      </c>
      <c r="U71" s="66" t="str">
        <f t="shared" si="7"/>
        <v>$coh</v>
      </c>
      <c r="V71" s="66" t="str">
        <f t="shared" si="8"/>
        <v>$Gc</v>
      </c>
      <c r="W71" s="66" t="str">
        <f t="shared" si="9"/>
        <v>$dropDrift</v>
      </c>
      <c r="X71" s="66" t="str">
        <f t="shared" si="10"/>
        <v>$muR</v>
      </c>
      <c r="Y71" s="66" t="str">
        <f t="shared" si="11"/>
        <v>-density</v>
      </c>
      <c r="Z71" s="66" t="str">
        <f t="shared" si="12"/>
        <v>$rho</v>
      </c>
      <c r="AA71" s="66" t="str">
        <f t="shared" si="20"/>
        <v>-pDelta</v>
      </c>
      <c r="AB71" s="66" t="str">
        <f t="shared" si="21"/>
        <v>-secantDamping</v>
      </c>
      <c r="AC71" s="66" t="str">
        <f t="shared" si="14"/>
        <v>-driftS</v>
      </c>
      <c r="AD71" s="66" t="str">
        <f t="shared" si="15"/>
        <v>$driftS</v>
      </c>
      <c r="AE71" s="66" t="str">
        <f t="shared" si="16"/>
        <v>0.8</v>
      </c>
      <c r="AF71" s="66" t="str">
        <f t="shared" si="17"/>
        <v>-driftF</v>
      </c>
      <c r="AG71" s="66" t="str">
        <f t="shared" si="18"/>
        <v>$driftF</v>
      </c>
      <c r="AH71" s="66" t="str">
        <f t="shared" si="19"/>
        <v>0.0</v>
      </c>
      <c r="AI71" s="66" t="str" cm="1">
        <f t="array" ref="AI71">TRIM(_xlfn.TEXTJOIN(CHAR(9),TRUE,B71:M71, TEXT(ROUND(N71:P71,3),"0.000"),Q71:AD71,TEXT(ROUND(AE71,1),"0.0"),AF71:AG71,TEXT(ROUND(AH71,1),"0.0")))</f>
        <v>element Macroelement3d	60	81	40	159	0	-1	0	-1	0	0	-spandrel	1.200	0.650	0.550	$Eelement	$Gs	$fc	$mus	$coh	$Gc	$dropDrift	$muR	-density	$rho	-pDelta	-secantDamping	-driftS	$driftS	0.8	-driftF	$driftF	0.0</v>
      </c>
      <c r="AT71">
        <f t="shared" si="22"/>
        <v>0.42900000000000005</v>
      </c>
    </row>
    <row r="72" spans="1:46" x14ac:dyDescent="0.3">
      <c r="A72" s="66" t="s">
        <v>21</v>
      </c>
      <c r="B72" s="66" t="s">
        <v>48</v>
      </c>
      <c r="C72" s="68">
        <v>61</v>
      </c>
      <c r="D72" s="68">
        <v>40</v>
      </c>
      <c r="E72" s="68">
        <v>58</v>
      </c>
      <c r="F72" s="68">
        <v>160</v>
      </c>
      <c r="G72" s="68">
        <v>0</v>
      </c>
      <c r="H72" s="68">
        <v>-1</v>
      </c>
      <c r="I72" s="68">
        <v>0</v>
      </c>
      <c r="J72" s="68">
        <v>-1</v>
      </c>
      <c r="K72" s="68">
        <v>0</v>
      </c>
      <c r="L72" s="68">
        <v>0</v>
      </c>
      <c r="M72" s="66" t="str">
        <f t="shared" si="2"/>
        <v>-spandrel</v>
      </c>
      <c r="N72" s="69">
        <v>1.2</v>
      </c>
      <c r="O72" s="69">
        <v>0.65</v>
      </c>
      <c r="P72" s="69">
        <v>0.55000000000000004</v>
      </c>
      <c r="Q72" s="66" t="str">
        <f t="shared" si="3"/>
        <v>$Eelement</v>
      </c>
      <c r="R72" s="66" t="str">
        <f t="shared" si="4"/>
        <v>$Gs</v>
      </c>
      <c r="S72" s="66" t="str">
        <f t="shared" si="5"/>
        <v>$fc</v>
      </c>
      <c r="T72" s="66" t="str">
        <f t="shared" si="6"/>
        <v>$mus</v>
      </c>
      <c r="U72" s="66" t="str">
        <f t="shared" si="7"/>
        <v>$coh</v>
      </c>
      <c r="V72" s="66" t="str">
        <f t="shared" si="8"/>
        <v>$Gc</v>
      </c>
      <c r="W72" s="66" t="str">
        <f t="shared" si="9"/>
        <v>$dropDrift</v>
      </c>
      <c r="X72" s="66" t="str">
        <f t="shared" si="10"/>
        <v>$muR</v>
      </c>
      <c r="Y72" s="66" t="str">
        <f t="shared" si="11"/>
        <v>-density</v>
      </c>
      <c r="Z72" s="66" t="str">
        <f t="shared" si="12"/>
        <v>$rho</v>
      </c>
      <c r="AA72" s="66" t="str">
        <f t="shared" si="20"/>
        <v>-pDelta</v>
      </c>
      <c r="AB72" s="66" t="str">
        <f t="shared" si="21"/>
        <v>-secantDamping</v>
      </c>
      <c r="AC72" s="66" t="str">
        <f t="shared" si="14"/>
        <v>-driftS</v>
      </c>
      <c r="AD72" s="66" t="str">
        <f t="shared" si="15"/>
        <v>$driftS</v>
      </c>
      <c r="AE72" s="66" t="str">
        <f t="shared" si="16"/>
        <v>0.8</v>
      </c>
      <c r="AF72" s="66" t="str">
        <f t="shared" si="17"/>
        <v>-driftF</v>
      </c>
      <c r="AG72" s="66" t="str">
        <f t="shared" si="18"/>
        <v>$driftF</v>
      </c>
      <c r="AH72" s="66" t="str">
        <f t="shared" si="19"/>
        <v>0.0</v>
      </c>
      <c r="AI72" s="66" t="str" cm="1">
        <f t="array" ref="AI72">TRIM(_xlfn.TEXTJOIN(CHAR(9),TRUE,B72:M72, TEXT(ROUND(N72:P72,3),"0.000"),Q72:AD72,TEXT(ROUND(AE72,1),"0.0"),AF72:AG72,TEXT(ROUND(AH72,1),"0.0")))</f>
        <v>element Macroelement3d	61	40	58	160	0	-1	0	-1	0	0	-spandrel	1.200	0.650	0.550	$Eelement	$Gs	$fc	$mus	$coh	$Gc	$dropDrift	$muR	-density	$rho	-pDelta	-secantDamping	-driftS	$driftS	0.8	-driftF	$driftF	0.0</v>
      </c>
      <c r="AT72">
        <f t="shared" si="22"/>
        <v>0.42900000000000005</v>
      </c>
    </row>
    <row r="73" spans="1:46" x14ac:dyDescent="0.3">
      <c r="A73" s="66" t="s">
        <v>21</v>
      </c>
      <c r="B73" s="66" t="s">
        <v>48</v>
      </c>
      <c r="C73" s="68">
        <v>62</v>
      </c>
      <c r="D73" s="68">
        <v>84</v>
      </c>
      <c r="E73" s="68">
        <v>81</v>
      </c>
      <c r="F73" s="68">
        <v>161</v>
      </c>
      <c r="G73" s="68">
        <v>0</v>
      </c>
      <c r="H73" s="68">
        <v>0</v>
      </c>
      <c r="I73" s="68">
        <v>1</v>
      </c>
      <c r="J73" s="68">
        <v>-1</v>
      </c>
      <c r="K73" s="68">
        <v>0</v>
      </c>
      <c r="L73" s="68">
        <v>0</v>
      </c>
      <c r="M73" s="66" t="str">
        <f t="shared" si="2"/>
        <v>-pier</v>
      </c>
      <c r="N73" s="69">
        <v>1.7</v>
      </c>
      <c r="O73" s="69">
        <v>2.2799999999999998</v>
      </c>
      <c r="P73" s="69">
        <v>0.55000000000000004</v>
      </c>
      <c r="Q73" s="66" t="str">
        <f t="shared" si="3"/>
        <v>$Eelement</v>
      </c>
      <c r="R73" s="66" t="str">
        <f t="shared" si="4"/>
        <v>$Gs</v>
      </c>
      <c r="S73" s="66" t="str">
        <f t="shared" si="5"/>
        <v>$fc</v>
      </c>
      <c r="T73" s="66" t="str">
        <f t="shared" si="6"/>
        <v>$mus</v>
      </c>
      <c r="U73" s="66" t="str">
        <f t="shared" si="7"/>
        <v>$coh</v>
      </c>
      <c r="V73" s="66" t="str">
        <f t="shared" si="8"/>
        <v>$Gc</v>
      </c>
      <c r="W73" s="66" t="str">
        <f t="shared" si="9"/>
        <v>$dropDrift</v>
      </c>
      <c r="X73" s="66" t="str">
        <f t="shared" si="10"/>
        <v>$muR</v>
      </c>
      <c r="Y73" s="66" t="str">
        <f t="shared" si="11"/>
        <v>-density</v>
      </c>
      <c r="Z73" s="66" t="str">
        <f t="shared" si="12"/>
        <v>$rho</v>
      </c>
      <c r="AA73" s="66" t="str">
        <f t="shared" si="20"/>
        <v>-pDelta</v>
      </c>
      <c r="AB73" s="66" t="str">
        <f t="shared" ref="AB73:AB104" si="24">IF(W73="","",$AB$7)</f>
        <v>-secantDamping</v>
      </c>
      <c r="AC73" s="66" t="str">
        <f t="shared" si="14"/>
        <v>-driftS</v>
      </c>
      <c r="AD73" s="66" t="str">
        <f t="shared" si="15"/>
        <v>$driftS</v>
      </c>
      <c r="AE73" s="66" t="str">
        <f t="shared" si="16"/>
        <v>0.8</v>
      </c>
      <c r="AF73" s="66" t="str">
        <f t="shared" si="17"/>
        <v>-driftF</v>
      </c>
      <c r="AG73" s="66" t="str">
        <f t="shared" si="18"/>
        <v>$driftF</v>
      </c>
      <c r="AH73" s="66" t="str">
        <f t="shared" si="19"/>
        <v>0.0</v>
      </c>
      <c r="AI73" s="66" t="str" cm="1">
        <f t="array" ref="AI73">TRIM(_xlfn.TEXTJOIN(CHAR(9),TRUE,B73:M73, TEXT(ROUND(N73:P73,3),"0.000"),Q73:AD73,TEXT(ROUND(AE73,1),"0.0"),AF73:AG73,TEXT(ROUND(AH73,1),"0.0")))</f>
        <v>element Macroelement3d	62	84	81	161	0	0	1	-1	0	0	-pier	1.700	2.280	0.550	$Eelement	$Gs	$fc	$mus	$coh	$Gc	$dropDrift	$muR	-density	$rho	-pDelta	-secantDamping	-driftS	$driftS	0.8	-driftF	$driftF	0.0</v>
      </c>
      <c r="AT73">
        <f t="shared" ref="AT73:AT104" si="25">IF(C73="","",N73*O73*P73)</f>
        <v>2.1317999999999997</v>
      </c>
    </row>
    <row r="74" spans="1:46" x14ac:dyDescent="0.3">
      <c r="A74" s="66" t="s">
        <v>21</v>
      </c>
      <c r="B74" s="66" t="s">
        <v>48</v>
      </c>
      <c r="C74" s="68">
        <v>63</v>
      </c>
      <c r="D74" s="68">
        <v>41</v>
      </c>
      <c r="E74" s="68">
        <v>40</v>
      </c>
      <c r="F74" s="68">
        <v>162</v>
      </c>
      <c r="G74" s="68">
        <v>0</v>
      </c>
      <c r="H74" s="68">
        <v>0</v>
      </c>
      <c r="I74" s="68">
        <v>1</v>
      </c>
      <c r="J74" s="68">
        <v>-1</v>
      </c>
      <c r="K74" s="68">
        <v>0</v>
      </c>
      <c r="L74" s="68">
        <v>0</v>
      </c>
      <c r="M74" s="66" t="str">
        <f t="shared" ref="M74:M136" si="26">IF(I74=1,"-pier","-spandrel")</f>
        <v>-pier</v>
      </c>
      <c r="N74" s="69">
        <v>1.7</v>
      </c>
      <c r="O74" s="69">
        <v>4.4000000000000004</v>
      </c>
      <c r="P74" s="69">
        <v>0.55000000000000004</v>
      </c>
      <c r="Q74" s="66" t="str">
        <f t="shared" ref="Q74:Q137" si="27">IF(C74="","","$Eelement")</f>
        <v>$Eelement</v>
      </c>
      <c r="R74" s="66" t="str">
        <f t="shared" ref="R74:R136" si="28">IF(C74="","","$Gs")</f>
        <v>$Gs</v>
      </c>
      <c r="S74" s="66" t="str">
        <f t="shared" ref="S74:S136" si="29">IF(C74="","","$fc")</f>
        <v>$fc</v>
      </c>
      <c r="T74" s="66" t="str">
        <f t="shared" ref="T74:T136" si="30">IF(C74="","","$mus")</f>
        <v>$mus</v>
      </c>
      <c r="U74" s="66" t="str">
        <f t="shared" ref="U74:U136" si="31">IF(C74="","","$coh")</f>
        <v>$coh</v>
      </c>
      <c r="V74" s="66" t="str">
        <f t="shared" ref="V74:V136" si="32">IF(C74="","","$Gc")</f>
        <v>$Gc</v>
      </c>
      <c r="W74" s="66" t="str">
        <f t="shared" ref="W74:W136" si="33">IF(C74="","","$dropDrift")</f>
        <v>$dropDrift</v>
      </c>
      <c r="X74" s="66" t="str">
        <f t="shared" ref="X74:X136" si="34">IF(C74="","","$muR")</f>
        <v>$muR</v>
      </c>
      <c r="Y74" s="66" t="str">
        <f t="shared" ref="Y74:Y136" si="35">IF(C74="","","-density")</f>
        <v>-density</v>
      </c>
      <c r="Z74" s="66" t="str">
        <f t="shared" ref="Z74:Z136" si="36">IF(C74="","","$rho")</f>
        <v>$rho</v>
      </c>
      <c r="AA74" s="66" t="str">
        <f t="shared" ref="AA74:AA136" si="37">IF(C74="","","-pDelta")</f>
        <v>-pDelta</v>
      </c>
      <c r="AB74" s="66" t="str">
        <f t="shared" si="24"/>
        <v>-secantDamping</v>
      </c>
      <c r="AC74" s="66" t="str">
        <f t="shared" ref="AC74:AC137" si="38">IF(W74="","",$AC$7)</f>
        <v>-driftS</v>
      </c>
      <c r="AD74" s="66" t="str">
        <f t="shared" ref="AD74:AD137" si="39">IF(W74="","",$AD$7)</f>
        <v>$driftS</v>
      </c>
      <c r="AE74" s="66" t="str">
        <f t="shared" ref="AE74:AE137" si="40">IF(W74="","",$AE$7)</f>
        <v>0.8</v>
      </c>
      <c r="AF74" s="66" t="str">
        <f t="shared" ref="AF74:AF137" si="41">IF(Z74="","",$AF$7)</f>
        <v>-driftF</v>
      </c>
      <c r="AG74" s="66" t="str">
        <f t="shared" ref="AG74:AG137" si="42">IF(W74="","",$AG$7)</f>
        <v>$driftF</v>
      </c>
      <c r="AH74" s="66" t="str">
        <f t="shared" ref="AH74:AH137" si="43">IF(W74="","",$AH$7)</f>
        <v>0.0</v>
      </c>
      <c r="AI74" s="66" t="str" cm="1">
        <f t="array" ref="AI74">TRIM(_xlfn.TEXTJOIN(CHAR(9),TRUE,B74:M74, TEXT(ROUND(N74:P74,3),"0.000"),Q74:AD74,TEXT(ROUND(AE74,1),"0.0"),AF74:AG74,TEXT(ROUND(AH74,1),"0.0")))</f>
        <v>element Macroelement3d	63	41	40	162	0	0	1	-1	0	0	-pier	1.700	4.400	0.550	$Eelement	$Gs	$fc	$mus	$coh	$Gc	$dropDrift	$muR	-density	$rho	-pDelta	-secantDamping	-driftS	$driftS	0.8	-driftF	$driftF	0.0</v>
      </c>
      <c r="AT74">
        <f t="shared" si="25"/>
        <v>4.1140000000000008</v>
      </c>
    </row>
    <row r="75" spans="1:46" x14ac:dyDescent="0.3">
      <c r="A75" s="66" t="s">
        <v>21</v>
      </c>
      <c r="B75" s="66" t="s">
        <v>48</v>
      </c>
      <c r="C75" s="68">
        <v>64</v>
      </c>
      <c r="D75" s="68">
        <v>62</v>
      </c>
      <c r="E75" s="68">
        <v>58</v>
      </c>
      <c r="F75" s="68">
        <v>163</v>
      </c>
      <c r="G75" s="68">
        <v>0</v>
      </c>
      <c r="H75" s="68">
        <v>0</v>
      </c>
      <c r="I75" s="68">
        <v>1</v>
      </c>
      <c r="J75" s="68">
        <v>-1</v>
      </c>
      <c r="K75" s="68">
        <v>0</v>
      </c>
      <c r="L75" s="68">
        <v>0</v>
      </c>
      <c r="M75" s="66" t="str">
        <f t="shared" si="26"/>
        <v>-pier</v>
      </c>
      <c r="N75" s="69">
        <v>1.7</v>
      </c>
      <c r="O75" s="69">
        <v>2.2799999999999998</v>
      </c>
      <c r="P75" s="69">
        <v>0.55000000000000004</v>
      </c>
      <c r="Q75" s="66" t="str">
        <f t="shared" si="27"/>
        <v>$Eelement</v>
      </c>
      <c r="R75" s="66" t="str">
        <f t="shared" si="28"/>
        <v>$Gs</v>
      </c>
      <c r="S75" s="66" t="str">
        <f t="shared" si="29"/>
        <v>$fc</v>
      </c>
      <c r="T75" s="66" t="str">
        <f t="shared" si="30"/>
        <v>$mus</v>
      </c>
      <c r="U75" s="66" t="str">
        <f t="shared" si="31"/>
        <v>$coh</v>
      </c>
      <c r="V75" s="66" t="str">
        <f t="shared" si="32"/>
        <v>$Gc</v>
      </c>
      <c r="W75" s="66" t="str">
        <f t="shared" si="33"/>
        <v>$dropDrift</v>
      </c>
      <c r="X75" s="66" t="str">
        <f t="shared" si="34"/>
        <v>$muR</v>
      </c>
      <c r="Y75" s="66" t="str">
        <f t="shared" si="35"/>
        <v>-density</v>
      </c>
      <c r="Z75" s="66" t="str">
        <f t="shared" si="36"/>
        <v>$rho</v>
      </c>
      <c r="AA75" s="66" t="str">
        <f t="shared" si="37"/>
        <v>-pDelta</v>
      </c>
      <c r="AB75" s="66" t="str">
        <f t="shared" si="24"/>
        <v>-secantDamping</v>
      </c>
      <c r="AC75" s="66" t="str">
        <f t="shared" si="38"/>
        <v>-driftS</v>
      </c>
      <c r="AD75" s="66" t="str">
        <f t="shared" si="39"/>
        <v>$driftS</v>
      </c>
      <c r="AE75" s="66" t="str">
        <f t="shared" si="40"/>
        <v>0.8</v>
      </c>
      <c r="AF75" s="66" t="str">
        <f t="shared" si="41"/>
        <v>-driftF</v>
      </c>
      <c r="AG75" s="66" t="str">
        <f t="shared" si="42"/>
        <v>$driftF</v>
      </c>
      <c r="AH75" s="66" t="str">
        <f t="shared" si="43"/>
        <v>0.0</v>
      </c>
      <c r="AI75" s="66" t="str" cm="1">
        <f t="array" ref="AI75">TRIM(_xlfn.TEXTJOIN(CHAR(9),TRUE,B75:M75, TEXT(ROUND(N75:P75,3),"0.000"),Q75:AD75,TEXT(ROUND(AE75,1),"0.0"),AF75:AG75,TEXT(ROUND(AH75,1),"0.0")))</f>
        <v>element Macroelement3d	64	62	58	163	0	0	1	-1	0	0	-pier	1.700	2.280	0.550	$Eelement	$Gs	$fc	$mus	$coh	$Gc	$dropDrift	$muR	-density	$rho	-pDelta	-secantDamping	-driftS	$driftS	0.8	-driftF	$driftF	0.0</v>
      </c>
      <c r="AT75">
        <f t="shared" si="25"/>
        <v>2.1317999999999997</v>
      </c>
    </row>
    <row r="76" spans="1:46" x14ac:dyDescent="0.3">
      <c r="A76" s="66" t="s">
        <v>21</v>
      </c>
      <c r="B76" s="66" t="s">
        <v>48</v>
      </c>
      <c r="C76" s="68">
        <v>65</v>
      </c>
      <c r="D76" s="68">
        <v>84</v>
      </c>
      <c r="E76" s="68">
        <v>41</v>
      </c>
      <c r="F76" s="68">
        <v>164</v>
      </c>
      <c r="G76" s="68">
        <v>0</v>
      </c>
      <c r="H76" s="68">
        <v>-1</v>
      </c>
      <c r="I76" s="68">
        <v>0</v>
      </c>
      <c r="J76" s="68">
        <v>-1</v>
      </c>
      <c r="K76" s="68">
        <v>0</v>
      </c>
      <c r="L76" s="68">
        <v>0</v>
      </c>
      <c r="M76" s="66" t="str">
        <f t="shared" si="26"/>
        <v>-spandrel</v>
      </c>
      <c r="N76" s="69">
        <v>1.2</v>
      </c>
      <c r="O76" s="69">
        <v>1.55</v>
      </c>
      <c r="P76" s="69">
        <v>0.6</v>
      </c>
      <c r="Q76" s="66" t="str">
        <f t="shared" si="27"/>
        <v>$Eelement</v>
      </c>
      <c r="R76" s="66" t="str">
        <f t="shared" si="28"/>
        <v>$Gs</v>
      </c>
      <c r="S76" s="66" t="str">
        <f t="shared" si="29"/>
        <v>$fc</v>
      </c>
      <c r="T76" s="66" t="str">
        <f t="shared" si="30"/>
        <v>$mus</v>
      </c>
      <c r="U76" s="66" t="str">
        <f t="shared" si="31"/>
        <v>$coh</v>
      </c>
      <c r="V76" s="66" t="str">
        <f t="shared" si="32"/>
        <v>$Gc</v>
      </c>
      <c r="W76" s="66" t="str">
        <f t="shared" si="33"/>
        <v>$dropDrift</v>
      </c>
      <c r="X76" s="66" t="str">
        <f t="shared" si="34"/>
        <v>$muR</v>
      </c>
      <c r="Y76" s="66" t="str">
        <f t="shared" si="35"/>
        <v>-density</v>
      </c>
      <c r="Z76" s="66" t="str">
        <f t="shared" si="36"/>
        <v>$rho</v>
      </c>
      <c r="AA76" s="66" t="str">
        <f t="shared" si="37"/>
        <v>-pDelta</v>
      </c>
      <c r="AB76" s="66" t="str">
        <f t="shared" si="24"/>
        <v>-secantDamping</v>
      </c>
      <c r="AC76" s="66" t="str">
        <f t="shared" si="38"/>
        <v>-driftS</v>
      </c>
      <c r="AD76" s="66" t="str">
        <f t="shared" si="39"/>
        <v>$driftS</v>
      </c>
      <c r="AE76" s="66" t="str">
        <f t="shared" si="40"/>
        <v>0.8</v>
      </c>
      <c r="AF76" s="66" t="str">
        <f t="shared" si="41"/>
        <v>-driftF</v>
      </c>
      <c r="AG76" s="66" t="str">
        <f t="shared" si="42"/>
        <v>$driftF</v>
      </c>
      <c r="AH76" s="66" t="str">
        <f t="shared" si="43"/>
        <v>0.0</v>
      </c>
      <c r="AI76" s="66" t="str" cm="1">
        <f t="array" ref="AI76">TRIM(_xlfn.TEXTJOIN(CHAR(9),TRUE,B76:M76, TEXT(ROUND(N76:P76,3),"0.000"),Q76:AD76,TEXT(ROUND(AE76,1),"0.0"),AF76:AG76,TEXT(ROUND(AH76,1),"0.0")))</f>
        <v>element Macroelement3d	65	84	41	164	0	-1	0	-1	0	0	-spandrel	1.200	1.550	0.600	$Eelement	$Gs	$fc	$mus	$coh	$Gc	$dropDrift	$muR	-density	$rho	-pDelta	-secantDamping	-driftS	$driftS	0.8	-driftF	$driftF	0.0</v>
      </c>
      <c r="AT76">
        <f t="shared" si="25"/>
        <v>1.1159999999999999</v>
      </c>
    </row>
    <row r="77" spans="1:46" x14ac:dyDescent="0.3">
      <c r="A77" s="66" t="s">
        <v>21</v>
      </c>
      <c r="B77" s="66" t="s">
        <v>48</v>
      </c>
      <c r="C77" s="68">
        <v>66</v>
      </c>
      <c r="D77" s="68">
        <v>41</v>
      </c>
      <c r="E77" s="68">
        <v>62</v>
      </c>
      <c r="F77" s="68">
        <v>165</v>
      </c>
      <c r="G77" s="68">
        <v>0</v>
      </c>
      <c r="H77" s="68">
        <v>-1</v>
      </c>
      <c r="I77" s="68">
        <v>0</v>
      </c>
      <c r="J77" s="68">
        <v>-1</v>
      </c>
      <c r="K77" s="68">
        <v>0</v>
      </c>
      <c r="L77" s="68">
        <v>0</v>
      </c>
      <c r="M77" s="66" t="str">
        <f t="shared" si="26"/>
        <v>-spandrel</v>
      </c>
      <c r="N77" s="69">
        <v>1.2</v>
      </c>
      <c r="O77" s="69">
        <v>1.55</v>
      </c>
      <c r="P77" s="69">
        <v>0.6</v>
      </c>
      <c r="Q77" s="66" t="str">
        <f t="shared" si="27"/>
        <v>$Eelement</v>
      </c>
      <c r="R77" s="66" t="str">
        <f t="shared" si="28"/>
        <v>$Gs</v>
      </c>
      <c r="S77" s="66" t="str">
        <f t="shared" si="29"/>
        <v>$fc</v>
      </c>
      <c r="T77" s="66" t="str">
        <f t="shared" si="30"/>
        <v>$mus</v>
      </c>
      <c r="U77" s="66" t="str">
        <f t="shared" si="31"/>
        <v>$coh</v>
      </c>
      <c r="V77" s="66" t="str">
        <f t="shared" si="32"/>
        <v>$Gc</v>
      </c>
      <c r="W77" s="66" t="str">
        <f t="shared" si="33"/>
        <v>$dropDrift</v>
      </c>
      <c r="X77" s="66" t="str">
        <f t="shared" si="34"/>
        <v>$muR</v>
      </c>
      <c r="Y77" s="66" t="str">
        <f t="shared" si="35"/>
        <v>-density</v>
      </c>
      <c r="Z77" s="66" t="str">
        <f t="shared" si="36"/>
        <v>$rho</v>
      </c>
      <c r="AA77" s="66" t="str">
        <f t="shared" si="37"/>
        <v>-pDelta</v>
      </c>
      <c r="AB77" s="66" t="str">
        <f t="shared" si="24"/>
        <v>-secantDamping</v>
      </c>
      <c r="AC77" s="66" t="str">
        <f t="shared" si="38"/>
        <v>-driftS</v>
      </c>
      <c r="AD77" s="66" t="str">
        <f t="shared" si="39"/>
        <v>$driftS</v>
      </c>
      <c r="AE77" s="66" t="str">
        <f t="shared" si="40"/>
        <v>0.8</v>
      </c>
      <c r="AF77" s="66" t="str">
        <f t="shared" si="41"/>
        <v>-driftF</v>
      </c>
      <c r="AG77" s="66" t="str">
        <f t="shared" si="42"/>
        <v>$driftF</v>
      </c>
      <c r="AH77" s="66" t="str">
        <f t="shared" si="43"/>
        <v>0.0</v>
      </c>
      <c r="AI77" s="66" t="str" cm="1">
        <f t="array" ref="AI77">TRIM(_xlfn.TEXTJOIN(CHAR(9),TRUE,B77:M77, TEXT(ROUND(N77:P77,3),"0.000"),Q77:AD77,TEXT(ROUND(AE77,1),"0.0"),AF77:AG77,TEXT(ROUND(AH77,1),"0.0")))</f>
        <v>element Macroelement3d	66	41	62	165	0	-1	0	-1	0	0	-spandrel	1.200	1.550	0.600	$Eelement	$Gs	$fc	$mus	$coh	$Gc	$dropDrift	$muR	-density	$rho	-pDelta	-secantDamping	-driftS	$driftS	0.8	-driftF	$driftF	0.0</v>
      </c>
      <c r="AT77">
        <f t="shared" si="25"/>
        <v>1.1159999999999999</v>
      </c>
    </row>
    <row r="78" spans="1:46" x14ac:dyDescent="0.3">
      <c r="A78" s="66" t="s">
        <v>21</v>
      </c>
      <c r="B78" s="66" t="s">
        <v>48</v>
      </c>
      <c r="C78" s="68">
        <v>67</v>
      </c>
      <c r="D78" s="68">
        <v>87</v>
      </c>
      <c r="E78" s="68">
        <v>84</v>
      </c>
      <c r="F78" s="68">
        <v>166</v>
      </c>
      <c r="G78" s="68">
        <v>0</v>
      </c>
      <c r="H78" s="68">
        <v>0</v>
      </c>
      <c r="I78" s="68">
        <v>1</v>
      </c>
      <c r="J78" s="68">
        <v>-1</v>
      </c>
      <c r="K78" s="68">
        <v>0</v>
      </c>
      <c r="L78" s="68">
        <v>0</v>
      </c>
      <c r="M78" s="66" t="str">
        <f t="shared" si="26"/>
        <v>-pier</v>
      </c>
      <c r="N78" s="69">
        <v>1.7</v>
      </c>
      <c r="O78" s="69">
        <v>2.2799999999999998</v>
      </c>
      <c r="P78" s="69">
        <v>0.7</v>
      </c>
      <c r="Q78" s="66" t="str">
        <f t="shared" si="27"/>
        <v>$Eelement</v>
      </c>
      <c r="R78" s="66" t="str">
        <f t="shared" si="28"/>
        <v>$Gs</v>
      </c>
      <c r="S78" s="66" t="str">
        <f t="shared" si="29"/>
        <v>$fc</v>
      </c>
      <c r="T78" s="66" t="str">
        <f t="shared" si="30"/>
        <v>$mus</v>
      </c>
      <c r="U78" s="66" t="str">
        <f t="shared" si="31"/>
        <v>$coh</v>
      </c>
      <c r="V78" s="66" t="str">
        <f t="shared" si="32"/>
        <v>$Gc</v>
      </c>
      <c r="W78" s="66" t="str">
        <f t="shared" si="33"/>
        <v>$dropDrift</v>
      </c>
      <c r="X78" s="66" t="str">
        <f t="shared" si="34"/>
        <v>$muR</v>
      </c>
      <c r="Y78" s="66" t="str">
        <f t="shared" si="35"/>
        <v>-density</v>
      </c>
      <c r="Z78" s="66" t="str">
        <f t="shared" si="36"/>
        <v>$rho</v>
      </c>
      <c r="AA78" s="66" t="str">
        <f t="shared" si="37"/>
        <v>-pDelta</v>
      </c>
      <c r="AB78" s="66" t="str">
        <f t="shared" si="24"/>
        <v>-secantDamping</v>
      </c>
      <c r="AC78" s="66" t="str">
        <f t="shared" si="38"/>
        <v>-driftS</v>
      </c>
      <c r="AD78" s="66" t="str">
        <f t="shared" si="39"/>
        <v>$driftS</v>
      </c>
      <c r="AE78" s="66" t="str">
        <f t="shared" si="40"/>
        <v>0.8</v>
      </c>
      <c r="AF78" s="66" t="str">
        <f t="shared" si="41"/>
        <v>-driftF</v>
      </c>
      <c r="AG78" s="66" t="str">
        <f t="shared" si="42"/>
        <v>$driftF</v>
      </c>
      <c r="AH78" s="66" t="str">
        <f t="shared" si="43"/>
        <v>0.0</v>
      </c>
      <c r="AI78" s="66" t="str" cm="1">
        <f t="array" ref="AI78">TRIM(_xlfn.TEXTJOIN(CHAR(9),TRUE,B78:M78, TEXT(ROUND(N78:P78,3),"0.000"),Q78:AD78,TEXT(ROUND(AE78,1),"0.0"),AF78:AG78,TEXT(ROUND(AH78,1),"0.0")))</f>
        <v>element Macroelement3d	67	87	84	166	0	0	1	-1	0	0	-pier	1.700	2.280	0.700	$Eelement	$Gs	$fc	$mus	$coh	$Gc	$dropDrift	$muR	-density	$rho	-pDelta	-secantDamping	-driftS	$driftS	0.8	-driftF	$driftF	0.0</v>
      </c>
      <c r="AT78">
        <f t="shared" si="25"/>
        <v>2.7131999999999996</v>
      </c>
    </row>
    <row r="79" spans="1:46" x14ac:dyDescent="0.3">
      <c r="A79" s="66" t="s">
        <v>21</v>
      </c>
      <c r="B79" s="66" t="s">
        <v>48</v>
      </c>
      <c r="C79" s="68">
        <v>68</v>
      </c>
      <c r="D79" s="68">
        <v>42</v>
      </c>
      <c r="E79" s="68">
        <v>41</v>
      </c>
      <c r="F79" s="68">
        <v>167</v>
      </c>
      <c r="G79" s="68">
        <v>0</v>
      </c>
      <c r="H79" s="68">
        <v>0</v>
      </c>
      <c r="I79" s="68">
        <v>1</v>
      </c>
      <c r="J79" s="68">
        <v>-1</v>
      </c>
      <c r="K79" s="68">
        <v>0</v>
      </c>
      <c r="L79" s="68">
        <v>0</v>
      </c>
      <c r="M79" s="66" t="str">
        <f t="shared" si="26"/>
        <v>-pier</v>
      </c>
      <c r="N79" s="69">
        <v>1.7</v>
      </c>
      <c r="O79" s="69">
        <v>4.4000000000000004</v>
      </c>
      <c r="P79" s="69">
        <v>0.7</v>
      </c>
      <c r="Q79" s="66" t="str">
        <f t="shared" si="27"/>
        <v>$Eelement</v>
      </c>
      <c r="R79" s="66" t="str">
        <f t="shared" si="28"/>
        <v>$Gs</v>
      </c>
      <c r="S79" s="66" t="str">
        <f t="shared" si="29"/>
        <v>$fc</v>
      </c>
      <c r="T79" s="66" t="str">
        <f t="shared" si="30"/>
        <v>$mus</v>
      </c>
      <c r="U79" s="66" t="str">
        <f t="shared" si="31"/>
        <v>$coh</v>
      </c>
      <c r="V79" s="66" t="str">
        <f t="shared" si="32"/>
        <v>$Gc</v>
      </c>
      <c r="W79" s="66" t="str">
        <f t="shared" si="33"/>
        <v>$dropDrift</v>
      </c>
      <c r="X79" s="66" t="str">
        <f t="shared" si="34"/>
        <v>$muR</v>
      </c>
      <c r="Y79" s="66" t="str">
        <f t="shared" si="35"/>
        <v>-density</v>
      </c>
      <c r="Z79" s="66" t="str">
        <f t="shared" si="36"/>
        <v>$rho</v>
      </c>
      <c r="AA79" s="66" t="str">
        <f t="shared" si="37"/>
        <v>-pDelta</v>
      </c>
      <c r="AB79" s="66" t="str">
        <f t="shared" si="24"/>
        <v>-secantDamping</v>
      </c>
      <c r="AC79" s="66" t="str">
        <f t="shared" si="38"/>
        <v>-driftS</v>
      </c>
      <c r="AD79" s="66" t="str">
        <f t="shared" si="39"/>
        <v>$driftS</v>
      </c>
      <c r="AE79" s="66" t="str">
        <f t="shared" si="40"/>
        <v>0.8</v>
      </c>
      <c r="AF79" s="66" t="str">
        <f t="shared" si="41"/>
        <v>-driftF</v>
      </c>
      <c r="AG79" s="66" t="str">
        <f t="shared" si="42"/>
        <v>$driftF</v>
      </c>
      <c r="AH79" s="66" t="str">
        <f t="shared" si="43"/>
        <v>0.0</v>
      </c>
      <c r="AI79" s="66" t="str" cm="1">
        <f t="array" ref="AI79">TRIM(_xlfn.TEXTJOIN(CHAR(9),TRUE,B79:M79, TEXT(ROUND(N79:P79,3),"0.000"),Q79:AD79,TEXT(ROUND(AE79,1),"0.0"),AF79:AG79,TEXT(ROUND(AH79,1),"0.0")))</f>
        <v>element Macroelement3d	68	42	41	167	0	0	1	-1	0	0	-pier	1.700	4.400	0.700	$Eelement	$Gs	$fc	$mus	$coh	$Gc	$dropDrift	$muR	-density	$rho	-pDelta	-secantDamping	-driftS	$driftS	0.8	-driftF	$driftF	0.0</v>
      </c>
      <c r="AT79">
        <f t="shared" si="25"/>
        <v>5.2359999999999998</v>
      </c>
    </row>
    <row r="80" spans="1:46" x14ac:dyDescent="0.3">
      <c r="A80" s="66" t="s">
        <v>21</v>
      </c>
      <c r="B80" s="66" t="s">
        <v>48</v>
      </c>
      <c r="C80" s="68">
        <v>69</v>
      </c>
      <c r="D80" s="68">
        <v>66</v>
      </c>
      <c r="E80" s="68">
        <v>62</v>
      </c>
      <c r="F80" s="68">
        <v>168</v>
      </c>
      <c r="G80" s="68">
        <v>0</v>
      </c>
      <c r="H80" s="68">
        <v>0</v>
      </c>
      <c r="I80" s="68">
        <v>1</v>
      </c>
      <c r="J80" s="68">
        <v>-1</v>
      </c>
      <c r="K80" s="68">
        <v>0</v>
      </c>
      <c r="L80" s="68">
        <v>0</v>
      </c>
      <c r="M80" s="66" t="str">
        <f t="shared" si="26"/>
        <v>-pier</v>
      </c>
      <c r="N80" s="69">
        <v>1.7</v>
      </c>
      <c r="O80" s="69">
        <v>2.2799999999999998</v>
      </c>
      <c r="P80" s="69">
        <v>0.7</v>
      </c>
      <c r="Q80" s="66" t="str">
        <f t="shared" si="27"/>
        <v>$Eelement</v>
      </c>
      <c r="R80" s="66" t="str">
        <f t="shared" si="28"/>
        <v>$Gs</v>
      </c>
      <c r="S80" s="66" t="str">
        <f t="shared" si="29"/>
        <v>$fc</v>
      </c>
      <c r="T80" s="66" t="str">
        <f t="shared" si="30"/>
        <v>$mus</v>
      </c>
      <c r="U80" s="66" t="str">
        <f t="shared" si="31"/>
        <v>$coh</v>
      </c>
      <c r="V80" s="66" t="str">
        <f t="shared" si="32"/>
        <v>$Gc</v>
      </c>
      <c r="W80" s="66" t="str">
        <f t="shared" si="33"/>
        <v>$dropDrift</v>
      </c>
      <c r="X80" s="66" t="str">
        <f t="shared" si="34"/>
        <v>$muR</v>
      </c>
      <c r="Y80" s="66" t="str">
        <f t="shared" si="35"/>
        <v>-density</v>
      </c>
      <c r="Z80" s="66" t="str">
        <f t="shared" si="36"/>
        <v>$rho</v>
      </c>
      <c r="AA80" s="66" t="str">
        <f t="shared" si="37"/>
        <v>-pDelta</v>
      </c>
      <c r="AB80" s="66" t="str">
        <f t="shared" si="24"/>
        <v>-secantDamping</v>
      </c>
      <c r="AC80" s="66" t="str">
        <f t="shared" si="38"/>
        <v>-driftS</v>
      </c>
      <c r="AD80" s="66" t="str">
        <f t="shared" si="39"/>
        <v>$driftS</v>
      </c>
      <c r="AE80" s="66" t="str">
        <f t="shared" si="40"/>
        <v>0.8</v>
      </c>
      <c r="AF80" s="66" t="str">
        <f t="shared" si="41"/>
        <v>-driftF</v>
      </c>
      <c r="AG80" s="66" t="str">
        <f t="shared" si="42"/>
        <v>$driftF</v>
      </c>
      <c r="AH80" s="66" t="str">
        <f t="shared" si="43"/>
        <v>0.0</v>
      </c>
      <c r="AI80" s="66" t="str" cm="1">
        <f t="array" ref="AI80">TRIM(_xlfn.TEXTJOIN(CHAR(9),TRUE,B80:M80, TEXT(ROUND(N80:P80,3),"0.000"),Q80:AD80,TEXT(ROUND(AE80,1),"0.0"),AF80:AG80,TEXT(ROUND(AH80,1),"0.0")))</f>
        <v>element Macroelement3d	69	66	62	168	0	0	1	-1	0	0	-pier	1.700	2.280	0.700	$Eelement	$Gs	$fc	$mus	$coh	$Gc	$dropDrift	$muR	-density	$rho	-pDelta	-secantDamping	-driftS	$driftS	0.8	-driftF	$driftF	0.0</v>
      </c>
      <c r="AT80">
        <f t="shared" si="25"/>
        <v>2.7131999999999996</v>
      </c>
    </row>
    <row r="81" spans="1:46" x14ac:dyDescent="0.3">
      <c r="A81" s="66" t="s">
        <v>21</v>
      </c>
      <c r="B81" s="66" t="s">
        <v>48</v>
      </c>
      <c r="C81" s="68">
        <v>70</v>
      </c>
      <c r="D81" s="68">
        <v>87</v>
      </c>
      <c r="E81" s="68">
        <v>42</v>
      </c>
      <c r="F81" s="68">
        <v>169</v>
      </c>
      <c r="G81" s="68">
        <v>0</v>
      </c>
      <c r="H81" s="68">
        <v>-1</v>
      </c>
      <c r="I81" s="68">
        <v>0</v>
      </c>
      <c r="J81" s="68">
        <v>-1</v>
      </c>
      <c r="K81" s="68">
        <v>0</v>
      </c>
      <c r="L81" s="68">
        <v>0</v>
      </c>
      <c r="M81" s="66" t="str">
        <f t="shared" si="26"/>
        <v>-spandrel</v>
      </c>
      <c r="N81" s="69">
        <v>1.2</v>
      </c>
      <c r="O81" s="69">
        <v>0.8</v>
      </c>
      <c r="P81" s="69">
        <v>0.7</v>
      </c>
      <c r="Q81" s="66" t="str">
        <f t="shared" si="27"/>
        <v>$Eelement</v>
      </c>
      <c r="R81" s="66" t="str">
        <f t="shared" si="28"/>
        <v>$Gs</v>
      </c>
      <c r="S81" s="66" t="str">
        <f t="shared" si="29"/>
        <v>$fc</v>
      </c>
      <c r="T81" s="66" t="str">
        <f t="shared" si="30"/>
        <v>$mus</v>
      </c>
      <c r="U81" s="66" t="str">
        <f t="shared" si="31"/>
        <v>$coh</v>
      </c>
      <c r="V81" s="66" t="str">
        <f t="shared" si="32"/>
        <v>$Gc</v>
      </c>
      <c r="W81" s="66" t="str">
        <f t="shared" si="33"/>
        <v>$dropDrift</v>
      </c>
      <c r="X81" s="66" t="str">
        <f t="shared" si="34"/>
        <v>$muR</v>
      </c>
      <c r="Y81" s="66" t="str">
        <f t="shared" si="35"/>
        <v>-density</v>
      </c>
      <c r="Z81" s="66" t="str">
        <f t="shared" si="36"/>
        <v>$rho</v>
      </c>
      <c r="AA81" s="66" t="str">
        <f t="shared" si="37"/>
        <v>-pDelta</v>
      </c>
      <c r="AB81" s="66" t="str">
        <f t="shared" si="24"/>
        <v>-secantDamping</v>
      </c>
      <c r="AC81" s="66" t="str">
        <f t="shared" si="38"/>
        <v>-driftS</v>
      </c>
      <c r="AD81" s="66" t="str">
        <f t="shared" si="39"/>
        <v>$driftS</v>
      </c>
      <c r="AE81" s="66" t="str">
        <f t="shared" si="40"/>
        <v>0.8</v>
      </c>
      <c r="AF81" s="66" t="str">
        <f t="shared" si="41"/>
        <v>-driftF</v>
      </c>
      <c r="AG81" s="66" t="str">
        <f t="shared" si="42"/>
        <v>$driftF</v>
      </c>
      <c r="AH81" s="66" t="str">
        <f t="shared" si="43"/>
        <v>0.0</v>
      </c>
      <c r="AI81" s="66" t="str" cm="1">
        <f t="array" ref="AI81">TRIM(_xlfn.TEXTJOIN(CHAR(9),TRUE,B81:M81, TEXT(ROUND(N81:P81,3),"0.000"),Q81:AD81,TEXT(ROUND(AE81,1),"0.0"),AF81:AG81,TEXT(ROUND(AH81,1),"0.0")))</f>
        <v>element Macroelement3d	70	87	42	169	0	-1	0	-1	0	0	-spandrel	1.200	0.800	0.700	$Eelement	$Gs	$fc	$mus	$coh	$Gc	$dropDrift	$muR	-density	$rho	-pDelta	-secantDamping	-driftS	$driftS	0.8	-driftF	$driftF	0.0</v>
      </c>
      <c r="AT81">
        <f t="shared" si="25"/>
        <v>0.67199999999999993</v>
      </c>
    </row>
    <row r="82" spans="1:46" x14ac:dyDescent="0.3">
      <c r="A82" s="66" t="s">
        <v>21</v>
      </c>
      <c r="B82" s="66" t="s">
        <v>48</v>
      </c>
      <c r="C82" s="68">
        <v>71</v>
      </c>
      <c r="D82" s="68">
        <v>42</v>
      </c>
      <c r="E82" s="68">
        <v>66</v>
      </c>
      <c r="F82" s="68">
        <v>170</v>
      </c>
      <c r="G82" s="68">
        <v>0</v>
      </c>
      <c r="H82" s="68">
        <v>-1</v>
      </c>
      <c r="I82" s="68">
        <v>0</v>
      </c>
      <c r="J82" s="68">
        <v>-1</v>
      </c>
      <c r="K82" s="68">
        <v>0</v>
      </c>
      <c r="L82" s="68">
        <v>0</v>
      </c>
      <c r="M82" s="66" t="str">
        <f t="shared" si="26"/>
        <v>-spandrel</v>
      </c>
      <c r="N82" s="69">
        <v>1.2</v>
      </c>
      <c r="O82" s="69">
        <v>0.8</v>
      </c>
      <c r="P82" s="69">
        <v>0.7</v>
      </c>
      <c r="Q82" s="66" t="str">
        <f t="shared" si="27"/>
        <v>$Eelement</v>
      </c>
      <c r="R82" s="66" t="str">
        <f t="shared" si="28"/>
        <v>$Gs</v>
      </c>
      <c r="S82" s="66" t="str">
        <f t="shared" si="29"/>
        <v>$fc</v>
      </c>
      <c r="T82" s="66" t="str">
        <f t="shared" si="30"/>
        <v>$mus</v>
      </c>
      <c r="U82" s="66" t="str">
        <f t="shared" si="31"/>
        <v>$coh</v>
      </c>
      <c r="V82" s="66" t="str">
        <f t="shared" si="32"/>
        <v>$Gc</v>
      </c>
      <c r="W82" s="66" t="str">
        <f t="shared" si="33"/>
        <v>$dropDrift</v>
      </c>
      <c r="X82" s="66" t="str">
        <f t="shared" si="34"/>
        <v>$muR</v>
      </c>
      <c r="Y82" s="66" t="str">
        <f t="shared" si="35"/>
        <v>-density</v>
      </c>
      <c r="Z82" s="66" t="str">
        <f t="shared" si="36"/>
        <v>$rho</v>
      </c>
      <c r="AA82" s="66" t="str">
        <f t="shared" si="37"/>
        <v>-pDelta</v>
      </c>
      <c r="AB82" s="66" t="str">
        <f t="shared" si="24"/>
        <v>-secantDamping</v>
      </c>
      <c r="AC82" s="66" t="str">
        <f t="shared" si="38"/>
        <v>-driftS</v>
      </c>
      <c r="AD82" s="66" t="str">
        <f t="shared" si="39"/>
        <v>$driftS</v>
      </c>
      <c r="AE82" s="66" t="str">
        <f t="shared" si="40"/>
        <v>0.8</v>
      </c>
      <c r="AF82" s="66" t="str">
        <f t="shared" si="41"/>
        <v>-driftF</v>
      </c>
      <c r="AG82" s="66" t="str">
        <f t="shared" si="42"/>
        <v>$driftF</v>
      </c>
      <c r="AH82" s="66" t="str">
        <f t="shared" si="43"/>
        <v>0.0</v>
      </c>
      <c r="AI82" s="66" t="str" cm="1">
        <f t="array" ref="AI82">TRIM(_xlfn.TEXTJOIN(CHAR(9),TRUE,B82:M82, TEXT(ROUND(N82:P82,3),"0.000"),Q82:AD82,TEXT(ROUND(AE82,1),"0.0"),AF82:AG82,TEXT(ROUND(AH82,1),"0.0")))</f>
        <v>element Macroelement3d	71	42	66	170	0	-1	0	-1	0	0	-spandrel	1.200	0.800	0.700	$Eelement	$Gs	$fc	$mus	$coh	$Gc	$dropDrift	$muR	-density	$rho	-pDelta	-secantDamping	-driftS	$driftS	0.8	-driftF	$driftF	0.0</v>
      </c>
      <c r="AT82">
        <f t="shared" si="25"/>
        <v>0.67199999999999993</v>
      </c>
    </row>
    <row r="83" spans="1:46" x14ac:dyDescent="0.3">
      <c r="C83" s="29"/>
      <c r="D83" s="29"/>
      <c r="E83" s="29"/>
      <c r="F83" s="29"/>
      <c r="G83" s="29"/>
      <c r="H83" s="29"/>
      <c r="I83" s="29"/>
      <c r="J83" s="29"/>
      <c r="K83" s="29"/>
      <c r="L83" s="29"/>
      <c r="N83" s="2"/>
      <c r="O83" s="2"/>
      <c r="P83" s="2"/>
      <c r="Q83" t="str">
        <f t="shared" si="27"/>
        <v/>
      </c>
      <c r="R83" t="str">
        <f t="shared" si="28"/>
        <v/>
      </c>
      <c r="S83" t="str">
        <f t="shared" si="29"/>
        <v/>
      </c>
      <c r="T83" t="str">
        <f t="shared" si="30"/>
        <v/>
      </c>
      <c r="U83" t="str">
        <f t="shared" si="31"/>
        <v/>
      </c>
      <c r="V83" t="str">
        <f t="shared" si="32"/>
        <v/>
      </c>
      <c r="W83" t="str">
        <f t="shared" si="33"/>
        <v/>
      </c>
      <c r="X83" t="str">
        <f t="shared" si="34"/>
        <v/>
      </c>
      <c r="Y83" t="str">
        <f t="shared" si="35"/>
        <v/>
      </c>
      <c r="Z83" t="str">
        <f t="shared" si="36"/>
        <v/>
      </c>
      <c r="AA83" t="str">
        <f t="shared" si="37"/>
        <v/>
      </c>
      <c r="AB83" t="str">
        <f t="shared" si="24"/>
        <v/>
      </c>
      <c r="AC83" t="str">
        <f t="shared" si="38"/>
        <v/>
      </c>
      <c r="AD83" t="str">
        <f t="shared" si="39"/>
        <v/>
      </c>
      <c r="AE83" t="str">
        <f t="shared" si="40"/>
        <v/>
      </c>
      <c r="AF83" t="str">
        <f t="shared" si="41"/>
        <v/>
      </c>
      <c r="AG83" t="str">
        <f t="shared" si="42"/>
        <v/>
      </c>
      <c r="AH83" t="str">
        <f t="shared" si="43"/>
        <v/>
      </c>
      <c r="AT83" t="str">
        <f t="shared" si="25"/>
        <v/>
      </c>
    </row>
    <row r="84" spans="1:46" s="38" customFormat="1" x14ac:dyDescent="0.3">
      <c r="A84" s="138" t="s">
        <v>45</v>
      </c>
      <c r="B84" s="138" t="s">
        <v>6</v>
      </c>
      <c r="C84" s="139"/>
      <c r="Q84" s="38" t="str">
        <f t="shared" si="27"/>
        <v/>
      </c>
      <c r="R84" s="38" t="str">
        <f t="shared" si="28"/>
        <v/>
      </c>
      <c r="S84" s="38" t="str">
        <f t="shared" si="29"/>
        <v/>
      </c>
      <c r="T84" s="38" t="str">
        <f t="shared" si="30"/>
        <v/>
      </c>
      <c r="U84" s="38" t="str">
        <f t="shared" si="31"/>
        <v/>
      </c>
      <c r="V84" s="38" t="str">
        <f t="shared" si="32"/>
        <v/>
      </c>
      <c r="W84" s="38" t="str">
        <f t="shared" si="33"/>
        <v/>
      </c>
      <c r="X84" s="38" t="str">
        <f t="shared" si="34"/>
        <v/>
      </c>
      <c r="Y84" s="38" t="str">
        <f t="shared" si="35"/>
        <v/>
      </c>
      <c r="Z84" s="38" t="str">
        <f t="shared" si="36"/>
        <v/>
      </c>
      <c r="AA84" s="38" t="str">
        <f t="shared" si="37"/>
        <v/>
      </c>
      <c r="AB84" s="38" t="str">
        <f t="shared" si="24"/>
        <v/>
      </c>
      <c r="AC84" s="38" t="str">
        <f t="shared" si="38"/>
        <v/>
      </c>
      <c r="AD84" s="38" t="str">
        <f t="shared" si="39"/>
        <v/>
      </c>
      <c r="AE84" s="38" t="str">
        <f t="shared" si="40"/>
        <v/>
      </c>
      <c r="AF84" s="38" t="str">
        <f t="shared" si="41"/>
        <v/>
      </c>
      <c r="AG84" s="38" t="str">
        <f t="shared" si="42"/>
        <v/>
      </c>
      <c r="AH84" s="38" t="str">
        <f t="shared" si="43"/>
        <v/>
      </c>
      <c r="AI84" s="38" t="str">
        <f>TRIM(_xlfn.TEXTJOIN(CHAR(9),TRUE,B84:AA84))</f>
        <v>#Wall 5</v>
      </c>
      <c r="AT84" s="38" t="str">
        <f t="shared" si="25"/>
        <v/>
      </c>
    </row>
    <row r="85" spans="1:46" x14ac:dyDescent="0.3">
      <c r="A85" s="66" t="s">
        <v>21</v>
      </c>
      <c r="B85" s="66" t="s">
        <v>48</v>
      </c>
      <c r="C85" s="68">
        <v>72</v>
      </c>
      <c r="D85" s="68">
        <v>88</v>
      </c>
      <c r="E85" s="68">
        <v>43</v>
      </c>
      <c r="F85" s="68">
        <v>171</v>
      </c>
      <c r="G85" s="68">
        <v>1</v>
      </c>
      <c r="H85" s="68">
        <v>0</v>
      </c>
      <c r="I85" s="66">
        <v>0</v>
      </c>
      <c r="J85" s="66">
        <v>0</v>
      </c>
      <c r="K85" s="66">
        <v>-1</v>
      </c>
      <c r="L85" s="66">
        <v>0</v>
      </c>
      <c r="M85" s="66" t="str">
        <f t="shared" si="26"/>
        <v>-spandrel</v>
      </c>
      <c r="N85" s="69">
        <v>1.05</v>
      </c>
      <c r="O85" s="69">
        <v>1.1499999999999999</v>
      </c>
      <c r="P85" s="69">
        <v>0.4</v>
      </c>
      <c r="Q85" s="66" t="str">
        <f t="shared" si="27"/>
        <v>$Eelement</v>
      </c>
      <c r="R85" s="66" t="str">
        <f t="shared" si="28"/>
        <v>$Gs</v>
      </c>
      <c r="S85" s="66" t="str">
        <f t="shared" si="29"/>
        <v>$fc</v>
      </c>
      <c r="T85" s="66" t="str">
        <f t="shared" si="30"/>
        <v>$mus</v>
      </c>
      <c r="U85" s="66" t="str">
        <f t="shared" si="31"/>
        <v>$coh</v>
      </c>
      <c r="V85" s="66" t="str">
        <f t="shared" si="32"/>
        <v>$Gc</v>
      </c>
      <c r="W85" s="66" t="str">
        <f t="shared" si="33"/>
        <v>$dropDrift</v>
      </c>
      <c r="X85" s="66" t="str">
        <f t="shared" si="34"/>
        <v>$muR</v>
      </c>
      <c r="Y85" s="66" t="str">
        <f t="shared" si="35"/>
        <v>-density</v>
      </c>
      <c r="Z85" s="66" t="str">
        <f t="shared" si="36"/>
        <v>$rho</v>
      </c>
      <c r="AA85" s="66" t="str">
        <f>IF(C85="","","")</f>
        <v/>
      </c>
      <c r="AB85" s="66" t="str">
        <f t="shared" si="24"/>
        <v>-secantDamping</v>
      </c>
      <c r="AC85" s="66" t="str">
        <f t="shared" si="38"/>
        <v>-driftS</v>
      </c>
      <c r="AD85" s="66" t="str">
        <f t="shared" si="39"/>
        <v>$driftS</v>
      </c>
      <c r="AE85" s="66" t="str">
        <f t="shared" si="40"/>
        <v>0.8</v>
      </c>
      <c r="AF85" s="66" t="str">
        <f t="shared" si="41"/>
        <v>-driftF</v>
      </c>
      <c r="AG85" s="66" t="str">
        <f t="shared" si="42"/>
        <v>$driftF</v>
      </c>
      <c r="AH85" s="66" t="str">
        <f t="shared" si="43"/>
        <v>0.0</v>
      </c>
      <c r="AI85" s="66" t="str" cm="1">
        <f t="array" ref="AI85">TRIM(_xlfn.TEXTJOIN(CHAR(9),TRUE,B85:M85, TEXT(ROUND(N85:P85,3),"0.000"),Q85:AD85,TEXT(ROUND(AE85,1),"0.0"),AF85:AG85,TEXT(ROUND(AH85,1),"0.0")))</f>
        <v>element Macroelement3d	72	88	43	171	1	0	0	0	-1	0	-spandrel	1.050	1.150	0.400	$Eelement	$Gs	$fc	$mus	$coh	$Gc	$dropDrift	$muR	-density	$rho	-secantDamping	-driftS	$driftS	0.8	-driftF	$driftF	0.0</v>
      </c>
      <c r="AT85">
        <f t="shared" si="25"/>
        <v>0.48300000000000004</v>
      </c>
    </row>
    <row r="86" spans="1:46" x14ac:dyDescent="0.3">
      <c r="A86" s="66" t="s">
        <v>21</v>
      </c>
      <c r="B86" s="66" t="s">
        <v>48</v>
      </c>
      <c r="C86" s="68">
        <v>73</v>
      </c>
      <c r="D86" s="68">
        <v>44</v>
      </c>
      <c r="E86" s="68">
        <v>45</v>
      </c>
      <c r="F86" s="68">
        <v>172</v>
      </c>
      <c r="G86" s="68">
        <v>1</v>
      </c>
      <c r="H86" s="68">
        <v>0</v>
      </c>
      <c r="I86" s="66">
        <v>0</v>
      </c>
      <c r="J86" s="66">
        <v>0</v>
      </c>
      <c r="K86" s="66">
        <v>-1</v>
      </c>
      <c r="L86" s="66">
        <v>0</v>
      </c>
      <c r="M86" s="66" t="str">
        <f t="shared" si="26"/>
        <v>-spandrel</v>
      </c>
      <c r="N86" s="69">
        <v>1.68</v>
      </c>
      <c r="O86" s="69">
        <v>1.1499999999999999</v>
      </c>
      <c r="P86" s="69">
        <v>0.4</v>
      </c>
      <c r="Q86" s="66" t="str">
        <f t="shared" si="27"/>
        <v>$Eelement</v>
      </c>
      <c r="R86" s="66" t="str">
        <f t="shared" si="28"/>
        <v>$Gs</v>
      </c>
      <c r="S86" s="66" t="str">
        <f t="shared" si="29"/>
        <v>$fc</v>
      </c>
      <c r="T86" s="66" t="str">
        <f t="shared" si="30"/>
        <v>$mus</v>
      </c>
      <c r="U86" s="66" t="str">
        <f t="shared" si="31"/>
        <v>$coh</v>
      </c>
      <c r="V86" s="66" t="str">
        <f t="shared" si="32"/>
        <v>$Gc</v>
      </c>
      <c r="W86" s="66" t="str">
        <f t="shared" si="33"/>
        <v>$dropDrift</v>
      </c>
      <c r="X86" s="66" t="str">
        <f t="shared" si="34"/>
        <v>$muR</v>
      </c>
      <c r="Y86" s="66" t="str">
        <f t="shared" si="35"/>
        <v>-density</v>
      </c>
      <c r="Z86" s="66" t="str">
        <f t="shared" si="36"/>
        <v>$rho</v>
      </c>
      <c r="AA86" s="66" t="str">
        <f t="shared" ref="AA86:AA87" si="44">IF(C86="","","")</f>
        <v/>
      </c>
      <c r="AB86" s="66" t="str">
        <f t="shared" si="24"/>
        <v>-secantDamping</v>
      </c>
      <c r="AC86" s="66" t="str">
        <f t="shared" si="38"/>
        <v>-driftS</v>
      </c>
      <c r="AD86" s="66" t="str">
        <f t="shared" si="39"/>
        <v>$driftS</v>
      </c>
      <c r="AE86" s="66" t="str">
        <f t="shared" si="40"/>
        <v>0.8</v>
      </c>
      <c r="AF86" s="66" t="str">
        <f t="shared" si="41"/>
        <v>-driftF</v>
      </c>
      <c r="AG86" s="66" t="str">
        <f t="shared" si="42"/>
        <v>$driftF</v>
      </c>
      <c r="AH86" s="66" t="str">
        <f t="shared" si="43"/>
        <v>0.0</v>
      </c>
      <c r="AI86" s="66" t="str" cm="1">
        <f t="array" ref="AI86">TRIM(_xlfn.TEXTJOIN(CHAR(9),TRUE,B86:M86, TEXT(ROUND(N86:P86,3),"0.000"),Q86:AD86,TEXT(ROUND(AE86,1),"0.0"),AF86:AG86,TEXT(ROUND(AH86,1),"0.0")))</f>
        <v>element Macroelement3d	73	44	45	172	1	0	0	0	-1	0	-spandrel	1.680	1.150	0.400	$Eelement	$Gs	$fc	$mus	$coh	$Gc	$dropDrift	$muR	-density	$rho	-secantDamping	-driftS	$driftS	0.8	-driftF	$driftF	0.0</v>
      </c>
      <c r="AT86">
        <f t="shared" si="25"/>
        <v>0.77279999999999993</v>
      </c>
    </row>
    <row r="87" spans="1:46" x14ac:dyDescent="0.3">
      <c r="A87" s="66" t="s">
        <v>21</v>
      </c>
      <c r="B87" s="66" t="s">
        <v>48</v>
      </c>
      <c r="C87" s="68">
        <v>74</v>
      </c>
      <c r="D87" s="68">
        <v>45</v>
      </c>
      <c r="E87" s="68">
        <v>71</v>
      </c>
      <c r="F87" s="68">
        <v>173</v>
      </c>
      <c r="G87" s="68">
        <v>1</v>
      </c>
      <c r="H87" s="68">
        <v>0</v>
      </c>
      <c r="I87" s="68">
        <v>0</v>
      </c>
      <c r="J87" s="68">
        <v>0</v>
      </c>
      <c r="K87" s="68">
        <v>-1</v>
      </c>
      <c r="L87" s="68">
        <v>0</v>
      </c>
      <c r="M87" s="66" t="str">
        <f t="shared" si="26"/>
        <v>-spandrel</v>
      </c>
      <c r="N87" s="69">
        <v>1.25</v>
      </c>
      <c r="O87" s="69">
        <v>1.1499999999999999</v>
      </c>
      <c r="P87" s="69">
        <v>0.4</v>
      </c>
      <c r="Q87" s="66" t="str">
        <f t="shared" si="27"/>
        <v>$Eelement</v>
      </c>
      <c r="R87" s="66" t="str">
        <f t="shared" si="28"/>
        <v>$Gs</v>
      </c>
      <c r="S87" s="66" t="str">
        <f t="shared" si="29"/>
        <v>$fc</v>
      </c>
      <c r="T87" s="66" t="str">
        <f t="shared" si="30"/>
        <v>$mus</v>
      </c>
      <c r="U87" s="66" t="str">
        <f t="shared" si="31"/>
        <v>$coh</v>
      </c>
      <c r="V87" s="66" t="str">
        <f t="shared" si="32"/>
        <v>$Gc</v>
      </c>
      <c r="W87" s="66" t="str">
        <f t="shared" si="33"/>
        <v>$dropDrift</v>
      </c>
      <c r="X87" s="66" t="str">
        <f t="shared" si="34"/>
        <v>$muR</v>
      </c>
      <c r="Y87" s="66" t="str">
        <f t="shared" si="35"/>
        <v>-density</v>
      </c>
      <c r="Z87" s="66" t="str">
        <f t="shared" si="36"/>
        <v>$rho</v>
      </c>
      <c r="AA87" s="66" t="str">
        <f t="shared" si="44"/>
        <v/>
      </c>
      <c r="AB87" s="66" t="str">
        <f t="shared" si="24"/>
        <v>-secantDamping</v>
      </c>
      <c r="AC87" s="66" t="str">
        <f t="shared" si="38"/>
        <v>-driftS</v>
      </c>
      <c r="AD87" s="66" t="str">
        <f t="shared" si="39"/>
        <v>$driftS</v>
      </c>
      <c r="AE87" s="66" t="str">
        <f t="shared" si="40"/>
        <v>0.8</v>
      </c>
      <c r="AF87" s="66" t="str">
        <f t="shared" si="41"/>
        <v>-driftF</v>
      </c>
      <c r="AG87" s="66" t="str">
        <f t="shared" si="42"/>
        <v>$driftF</v>
      </c>
      <c r="AH87" s="66" t="str">
        <f t="shared" si="43"/>
        <v>0.0</v>
      </c>
      <c r="AI87" s="66" t="str" cm="1">
        <f t="array" ref="AI87">TRIM(_xlfn.TEXTJOIN(CHAR(9),TRUE,B87:M87, TEXT(ROUND(N87:P87,3),"0.000"),Q87:AD87,TEXT(ROUND(AE87,1),"0.0"),AF87:AG87,TEXT(ROUND(AH87,1),"0.0")))</f>
        <v>element Macroelement3d	74	45	71	173	1	0	0	0	-1	0	-spandrel	1.250	1.150	0.400	$Eelement	$Gs	$fc	$mus	$coh	$Gc	$dropDrift	$muR	-density	$rho	-secantDamping	-driftS	$driftS	0.8	-driftF	$driftF	0.0</v>
      </c>
      <c r="AT87">
        <f t="shared" si="25"/>
        <v>0.57500000000000007</v>
      </c>
    </row>
    <row r="88" spans="1:46" x14ac:dyDescent="0.3">
      <c r="A88" s="66" t="s">
        <v>21</v>
      </c>
      <c r="B88" s="66" t="s">
        <v>48</v>
      </c>
      <c r="C88" s="68">
        <v>75</v>
      </c>
      <c r="D88" s="68">
        <v>89</v>
      </c>
      <c r="E88" s="68">
        <v>88</v>
      </c>
      <c r="F88" s="68">
        <v>174</v>
      </c>
      <c r="G88" s="68">
        <v>0</v>
      </c>
      <c r="H88" s="68">
        <v>0</v>
      </c>
      <c r="I88" s="68">
        <v>1</v>
      </c>
      <c r="J88" s="68">
        <v>0</v>
      </c>
      <c r="K88" s="68">
        <v>-1</v>
      </c>
      <c r="L88" s="66">
        <v>0</v>
      </c>
      <c r="M88" s="66" t="str">
        <f t="shared" si="26"/>
        <v>-pier</v>
      </c>
      <c r="N88" s="69">
        <v>2</v>
      </c>
      <c r="O88" s="69">
        <v>2.8</v>
      </c>
      <c r="P88" s="69">
        <v>0.4</v>
      </c>
      <c r="Q88" s="66" t="str">
        <f t="shared" si="27"/>
        <v>$Eelement</v>
      </c>
      <c r="R88" s="66" t="str">
        <f t="shared" si="28"/>
        <v>$Gs</v>
      </c>
      <c r="S88" s="66" t="str">
        <f t="shared" si="29"/>
        <v>$fc</v>
      </c>
      <c r="T88" s="66" t="str">
        <f t="shared" si="30"/>
        <v>$mus</v>
      </c>
      <c r="U88" s="66" t="str">
        <f t="shared" si="31"/>
        <v>$coh</v>
      </c>
      <c r="V88" s="66" t="str">
        <f t="shared" si="32"/>
        <v>$Gc</v>
      </c>
      <c r="W88" s="66" t="str">
        <f t="shared" si="33"/>
        <v>$dropDrift</v>
      </c>
      <c r="X88" s="66" t="str">
        <f t="shared" si="34"/>
        <v>$muR</v>
      </c>
      <c r="Y88" s="66" t="str">
        <f t="shared" si="35"/>
        <v>-density</v>
      </c>
      <c r="Z88" s="66" t="str">
        <f t="shared" si="36"/>
        <v>$rho</v>
      </c>
      <c r="AA88" s="66" t="str">
        <f t="shared" si="37"/>
        <v>-pDelta</v>
      </c>
      <c r="AB88" s="66" t="str">
        <f t="shared" si="24"/>
        <v>-secantDamping</v>
      </c>
      <c r="AC88" s="66" t="str">
        <f t="shared" si="38"/>
        <v>-driftS</v>
      </c>
      <c r="AD88" s="66" t="str">
        <f t="shared" si="39"/>
        <v>$driftS</v>
      </c>
      <c r="AE88" s="66" t="str">
        <f t="shared" si="40"/>
        <v>0.8</v>
      </c>
      <c r="AF88" s="66" t="str">
        <f t="shared" si="41"/>
        <v>-driftF</v>
      </c>
      <c r="AG88" s="66" t="str">
        <f t="shared" si="42"/>
        <v>$driftF</v>
      </c>
      <c r="AH88" s="66" t="str">
        <f t="shared" si="43"/>
        <v>0.0</v>
      </c>
      <c r="AI88" s="66" t="str" cm="1">
        <f t="array" ref="AI88">TRIM(_xlfn.TEXTJOIN(CHAR(9),TRUE,B88:M88, TEXT(ROUND(N88:P88,3),"0.000"),Q88:AD88,TEXT(ROUND(AE88,1),"0.0"),AF88:AG88,TEXT(ROUND(AH88,1),"0.0")))</f>
        <v>element Macroelement3d	75	89	88	174	0	0	1	0	-1	0	-pier	2.000	2.800	0.400	$Eelement	$Gs	$fc	$mus	$coh	$Gc	$dropDrift	$muR	-density	$rho	-pDelta	-secantDamping	-driftS	$driftS	0.8	-driftF	$driftF	0.0</v>
      </c>
      <c r="AT88">
        <f t="shared" si="25"/>
        <v>2.2399999999999998</v>
      </c>
    </row>
    <row r="89" spans="1:46" x14ac:dyDescent="0.3">
      <c r="A89" s="66" t="s">
        <v>21</v>
      </c>
      <c r="B89" s="66" t="s">
        <v>48</v>
      </c>
      <c r="C89" s="68">
        <v>76</v>
      </c>
      <c r="D89" s="68">
        <v>46</v>
      </c>
      <c r="E89" s="68">
        <v>43</v>
      </c>
      <c r="F89" s="68">
        <v>175</v>
      </c>
      <c r="G89" s="68">
        <v>0</v>
      </c>
      <c r="H89" s="68">
        <v>0</v>
      </c>
      <c r="I89" s="68">
        <v>1</v>
      </c>
      <c r="J89" s="68">
        <v>0</v>
      </c>
      <c r="K89" s="68">
        <v>-1</v>
      </c>
      <c r="L89" s="68">
        <v>0</v>
      </c>
      <c r="M89" s="66" t="str">
        <f t="shared" si="26"/>
        <v>-pier</v>
      </c>
      <c r="N89" s="69">
        <v>2</v>
      </c>
      <c r="O89" s="69">
        <v>3.48</v>
      </c>
      <c r="P89" s="69">
        <v>0.4</v>
      </c>
      <c r="Q89" s="66" t="str">
        <f t="shared" si="27"/>
        <v>$Eelement</v>
      </c>
      <c r="R89" s="66" t="str">
        <f t="shared" si="28"/>
        <v>$Gs</v>
      </c>
      <c r="S89" s="66" t="str">
        <f t="shared" si="29"/>
        <v>$fc</v>
      </c>
      <c r="T89" s="66" t="str">
        <f t="shared" si="30"/>
        <v>$mus</v>
      </c>
      <c r="U89" s="66" t="str">
        <f t="shared" si="31"/>
        <v>$coh</v>
      </c>
      <c r="V89" s="66" t="str">
        <f t="shared" si="32"/>
        <v>$Gc</v>
      </c>
      <c r="W89" s="66" t="str">
        <f t="shared" si="33"/>
        <v>$dropDrift</v>
      </c>
      <c r="X89" s="66" t="str">
        <f t="shared" si="34"/>
        <v>$muR</v>
      </c>
      <c r="Y89" s="66" t="str">
        <f t="shared" si="35"/>
        <v>-density</v>
      </c>
      <c r="Z89" s="66" t="str">
        <f t="shared" si="36"/>
        <v>$rho</v>
      </c>
      <c r="AA89" s="66" t="str">
        <f t="shared" si="37"/>
        <v>-pDelta</v>
      </c>
      <c r="AB89" s="66" t="str">
        <f t="shared" si="24"/>
        <v>-secantDamping</v>
      </c>
      <c r="AC89" s="66" t="str">
        <f t="shared" si="38"/>
        <v>-driftS</v>
      </c>
      <c r="AD89" s="66" t="str">
        <f t="shared" si="39"/>
        <v>$driftS</v>
      </c>
      <c r="AE89" s="66" t="str">
        <f t="shared" si="40"/>
        <v>0.8</v>
      </c>
      <c r="AF89" s="66" t="str">
        <f t="shared" si="41"/>
        <v>-driftF</v>
      </c>
      <c r="AG89" s="66" t="str">
        <f t="shared" si="42"/>
        <v>$driftF</v>
      </c>
      <c r="AH89" s="66" t="str">
        <f t="shared" si="43"/>
        <v>0.0</v>
      </c>
      <c r="AI89" s="66" t="str" cm="1">
        <f t="array" ref="AI89">TRIM(_xlfn.TEXTJOIN(CHAR(9),TRUE,B89:M89, TEXT(ROUND(N89:P89,3),"0.000"),Q89:AD89,TEXT(ROUND(AE89,1),"0.0"),AF89:AG89,TEXT(ROUND(AH89,1),"0.0")))</f>
        <v>element Macroelement3d	76	46	43	175	0	0	1	0	-1	0	-pier	2.000	3.480	0.400	$Eelement	$Gs	$fc	$mus	$coh	$Gc	$dropDrift	$muR	-density	$rho	-pDelta	-secantDamping	-driftS	$driftS	0.8	-driftF	$driftF	0.0</v>
      </c>
      <c r="AT89">
        <f t="shared" si="25"/>
        <v>2.7840000000000003</v>
      </c>
    </row>
    <row r="90" spans="1:46" x14ac:dyDescent="0.3">
      <c r="A90" s="66" t="s">
        <v>21</v>
      </c>
      <c r="B90" s="66" t="s">
        <v>48</v>
      </c>
      <c r="C90" s="68">
        <v>77</v>
      </c>
      <c r="D90" s="68">
        <v>47</v>
      </c>
      <c r="E90" s="68">
        <v>44</v>
      </c>
      <c r="F90" s="68">
        <v>176</v>
      </c>
      <c r="G90" s="68">
        <v>0</v>
      </c>
      <c r="H90" s="68">
        <v>0</v>
      </c>
      <c r="I90" s="68">
        <v>1</v>
      </c>
      <c r="J90" s="68">
        <v>0</v>
      </c>
      <c r="K90" s="68">
        <v>-1</v>
      </c>
      <c r="L90" s="66">
        <v>0</v>
      </c>
      <c r="M90" s="66" t="str">
        <f t="shared" si="26"/>
        <v>-pier</v>
      </c>
      <c r="N90" s="69">
        <v>2</v>
      </c>
      <c r="O90" s="69">
        <v>2.66</v>
      </c>
      <c r="P90" s="69">
        <v>0.4</v>
      </c>
      <c r="Q90" s="66" t="str">
        <f t="shared" si="27"/>
        <v>$Eelement</v>
      </c>
      <c r="R90" s="66" t="str">
        <f t="shared" si="28"/>
        <v>$Gs</v>
      </c>
      <c r="S90" s="66" t="str">
        <f t="shared" si="29"/>
        <v>$fc</v>
      </c>
      <c r="T90" s="66" t="str">
        <f t="shared" si="30"/>
        <v>$mus</v>
      </c>
      <c r="U90" s="66" t="str">
        <f t="shared" si="31"/>
        <v>$coh</v>
      </c>
      <c r="V90" s="66" t="str">
        <f t="shared" si="32"/>
        <v>$Gc</v>
      </c>
      <c r="W90" s="66" t="str">
        <f t="shared" si="33"/>
        <v>$dropDrift</v>
      </c>
      <c r="X90" s="66" t="str">
        <f t="shared" si="34"/>
        <v>$muR</v>
      </c>
      <c r="Y90" s="66" t="str">
        <f t="shared" si="35"/>
        <v>-density</v>
      </c>
      <c r="Z90" s="66" t="str">
        <f t="shared" si="36"/>
        <v>$rho</v>
      </c>
      <c r="AA90" s="66" t="str">
        <f t="shared" si="37"/>
        <v>-pDelta</v>
      </c>
      <c r="AB90" s="66" t="str">
        <f t="shared" si="24"/>
        <v>-secantDamping</v>
      </c>
      <c r="AC90" s="66" t="str">
        <f t="shared" si="38"/>
        <v>-driftS</v>
      </c>
      <c r="AD90" s="66" t="str">
        <f t="shared" si="39"/>
        <v>$driftS</v>
      </c>
      <c r="AE90" s="66" t="str">
        <f t="shared" si="40"/>
        <v>0.8</v>
      </c>
      <c r="AF90" s="66" t="str">
        <f t="shared" si="41"/>
        <v>-driftF</v>
      </c>
      <c r="AG90" s="66" t="str">
        <f t="shared" si="42"/>
        <v>$driftF</v>
      </c>
      <c r="AH90" s="66" t="str">
        <f t="shared" si="43"/>
        <v>0.0</v>
      </c>
      <c r="AI90" s="66" t="str" cm="1">
        <f t="array" ref="AI90">TRIM(_xlfn.TEXTJOIN(CHAR(9),TRUE,B90:M90, TEXT(ROUND(N90:P90,3),"0.000"),Q90:AD90,TEXT(ROUND(AE90,1),"0.0"),AF90:AG90,TEXT(ROUND(AH90,1),"0.0")))</f>
        <v>element Macroelement3d	77	47	44	176	0	0	1	0	-1	0	-pier	2.000	2.660	0.400	$Eelement	$Gs	$fc	$mus	$coh	$Gc	$dropDrift	$muR	-density	$rho	-pDelta	-secantDamping	-driftS	$driftS	0.8	-driftF	$driftF	0.0</v>
      </c>
      <c r="AT90">
        <f t="shared" si="25"/>
        <v>2.1280000000000001</v>
      </c>
    </row>
    <row r="91" spans="1:46" x14ac:dyDescent="0.3">
      <c r="A91" s="66" t="s">
        <v>21</v>
      </c>
      <c r="B91" s="66" t="s">
        <v>48</v>
      </c>
      <c r="C91" s="68">
        <v>78</v>
      </c>
      <c r="D91" s="68">
        <v>48</v>
      </c>
      <c r="E91" s="68">
        <v>45</v>
      </c>
      <c r="F91" s="68">
        <v>177</v>
      </c>
      <c r="G91" s="68">
        <v>0</v>
      </c>
      <c r="H91" s="68">
        <v>0</v>
      </c>
      <c r="I91" s="68">
        <v>1</v>
      </c>
      <c r="J91" s="68">
        <v>0</v>
      </c>
      <c r="K91" s="68">
        <v>-1</v>
      </c>
      <c r="L91" s="68">
        <v>0</v>
      </c>
      <c r="M91" s="66" t="str">
        <f t="shared" si="26"/>
        <v>-pier</v>
      </c>
      <c r="N91" s="69">
        <v>2</v>
      </c>
      <c r="O91" s="69">
        <v>1.54</v>
      </c>
      <c r="P91" s="69">
        <v>0.4</v>
      </c>
      <c r="Q91" s="66" t="str">
        <f t="shared" si="27"/>
        <v>$Eelement</v>
      </c>
      <c r="R91" s="66" t="str">
        <f t="shared" si="28"/>
        <v>$Gs</v>
      </c>
      <c r="S91" s="66" t="str">
        <f t="shared" si="29"/>
        <v>$fc</v>
      </c>
      <c r="T91" s="66" t="str">
        <f t="shared" si="30"/>
        <v>$mus</v>
      </c>
      <c r="U91" s="66" t="str">
        <f t="shared" si="31"/>
        <v>$coh</v>
      </c>
      <c r="V91" s="66" t="str">
        <f t="shared" si="32"/>
        <v>$Gc</v>
      </c>
      <c r="W91" s="66" t="str">
        <f t="shared" si="33"/>
        <v>$dropDrift</v>
      </c>
      <c r="X91" s="66" t="str">
        <f t="shared" si="34"/>
        <v>$muR</v>
      </c>
      <c r="Y91" s="66" t="str">
        <f t="shared" si="35"/>
        <v>-density</v>
      </c>
      <c r="Z91" s="66" t="str">
        <f t="shared" si="36"/>
        <v>$rho</v>
      </c>
      <c r="AA91" s="66" t="str">
        <f t="shared" si="37"/>
        <v>-pDelta</v>
      </c>
      <c r="AB91" s="66" t="str">
        <f t="shared" si="24"/>
        <v>-secantDamping</v>
      </c>
      <c r="AC91" s="66" t="str">
        <f t="shared" si="38"/>
        <v>-driftS</v>
      </c>
      <c r="AD91" s="66" t="str">
        <f t="shared" si="39"/>
        <v>$driftS</v>
      </c>
      <c r="AE91" s="66" t="str">
        <f t="shared" si="40"/>
        <v>0.8</v>
      </c>
      <c r="AF91" s="66" t="str">
        <f t="shared" si="41"/>
        <v>-driftF</v>
      </c>
      <c r="AG91" s="66" t="str">
        <f t="shared" si="42"/>
        <v>$driftF</v>
      </c>
      <c r="AH91" s="66" t="str">
        <f t="shared" si="43"/>
        <v>0.0</v>
      </c>
      <c r="AI91" s="66" t="str" cm="1">
        <f t="array" ref="AI91">TRIM(_xlfn.TEXTJOIN(CHAR(9),TRUE,B91:M91, TEXT(ROUND(N91:P91,3),"0.000"),Q91:AD91,TEXT(ROUND(AE91,1),"0.0"),AF91:AG91,TEXT(ROUND(AH91,1),"0.0")))</f>
        <v>element Macroelement3d	78	48	45	177	0	0	1	0	-1	0	-pier	2.000	1.540	0.400	$Eelement	$Gs	$fc	$mus	$coh	$Gc	$dropDrift	$muR	-density	$rho	-pDelta	-secantDamping	-driftS	$driftS	0.8	-driftF	$driftF	0.0</v>
      </c>
      <c r="AT91">
        <f t="shared" si="25"/>
        <v>1.2320000000000002</v>
      </c>
    </row>
    <row r="92" spans="1:46" x14ac:dyDescent="0.3">
      <c r="A92" s="66" t="s">
        <v>21</v>
      </c>
      <c r="B92" s="66" t="s">
        <v>48</v>
      </c>
      <c r="C92" s="68">
        <v>79</v>
      </c>
      <c r="D92" s="68">
        <v>74</v>
      </c>
      <c r="E92" s="68">
        <v>71</v>
      </c>
      <c r="F92" s="68">
        <v>178</v>
      </c>
      <c r="G92" s="68">
        <v>0</v>
      </c>
      <c r="H92" s="68">
        <v>0</v>
      </c>
      <c r="I92" s="68">
        <v>1</v>
      </c>
      <c r="J92" s="68">
        <v>0</v>
      </c>
      <c r="K92" s="68">
        <v>-1</v>
      </c>
      <c r="L92" s="68">
        <v>0</v>
      </c>
      <c r="M92" s="66" t="str">
        <f t="shared" si="26"/>
        <v>-pier</v>
      </c>
      <c r="N92" s="69">
        <v>2</v>
      </c>
      <c r="O92" s="69">
        <v>2.7</v>
      </c>
      <c r="P92" s="69">
        <v>0.4</v>
      </c>
      <c r="Q92" s="66" t="str">
        <f t="shared" si="27"/>
        <v>$Eelement</v>
      </c>
      <c r="R92" s="66" t="str">
        <f t="shared" si="28"/>
        <v>$Gs</v>
      </c>
      <c r="S92" s="66" t="str">
        <f t="shared" si="29"/>
        <v>$fc</v>
      </c>
      <c r="T92" s="66" t="str">
        <f t="shared" si="30"/>
        <v>$mus</v>
      </c>
      <c r="U92" s="66" t="str">
        <f t="shared" si="31"/>
        <v>$coh</v>
      </c>
      <c r="V92" s="66" t="str">
        <f t="shared" si="32"/>
        <v>$Gc</v>
      </c>
      <c r="W92" s="66" t="str">
        <f t="shared" si="33"/>
        <v>$dropDrift</v>
      </c>
      <c r="X92" s="66" t="str">
        <f t="shared" si="34"/>
        <v>$muR</v>
      </c>
      <c r="Y92" s="66" t="str">
        <f t="shared" si="35"/>
        <v>-density</v>
      </c>
      <c r="Z92" s="66" t="str">
        <f t="shared" si="36"/>
        <v>$rho</v>
      </c>
      <c r="AA92" s="66" t="str">
        <f t="shared" si="37"/>
        <v>-pDelta</v>
      </c>
      <c r="AB92" s="66" t="str">
        <f t="shared" si="24"/>
        <v>-secantDamping</v>
      </c>
      <c r="AC92" s="66" t="str">
        <f t="shared" si="38"/>
        <v>-driftS</v>
      </c>
      <c r="AD92" s="66" t="str">
        <f t="shared" si="39"/>
        <v>$driftS</v>
      </c>
      <c r="AE92" s="66" t="str">
        <f t="shared" si="40"/>
        <v>0.8</v>
      </c>
      <c r="AF92" s="66" t="str">
        <f t="shared" si="41"/>
        <v>-driftF</v>
      </c>
      <c r="AG92" s="66" t="str">
        <f t="shared" si="42"/>
        <v>$driftF</v>
      </c>
      <c r="AH92" s="66" t="str">
        <f t="shared" si="43"/>
        <v>0.0</v>
      </c>
      <c r="AI92" s="66" t="str" cm="1">
        <f t="array" ref="AI92">TRIM(_xlfn.TEXTJOIN(CHAR(9),TRUE,B92:M92, TEXT(ROUND(N92:P92,3),"0.000"),Q92:AD92,TEXT(ROUND(AE92,1),"0.0"),AF92:AG92,TEXT(ROUND(AH92,1),"0.0")))</f>
        <v>element Macroelement3d	79	74	71	178	0	0	1	0	-1	0	-pier	2.000	2.700	0.400	$Eelement	$Gs	$fc	$mus	$coh	$Gc	$dropDrift	$muR	-density	$rho	-pDelta	-secantDamping	-driftS	$driftS	0.8	-driftF	$driftF	0.0</v>
      </c>
      <c r="AT92">
        <f t="shared" si="25"/>
        <v>2.16</v>
      </c>
    </row>
    <row r="93" spans="1:46" x14ac:dyDescent="0.3">
      <c r="A93" s="66" t="s">
        <v>21</v>
      </c>
      <c r="B93" s="66" t="s">
        <v>48</v>
      </c>
      <c r="C93" s="68">
        <v>80</v>
      </c>
      <c r="D93" s="68">
        <v>89</v>
      </c>
      <c r="E93" s="68">
        <v>46</v>
      </c>
      <c r="F93" s="68">
        <v>179</v>
      </c>
      <c r="G93" s="68">
        <v>1</v>
      </c>
      <c r="H93" s="68">
        <v>0</v>
      </c>
      <c r="I93" s="68">
        <v>0</v>
      </c>
      <c r="J93" s="68">
        <v>0</v>
      </c>
      <c r="K93" s="68">
        <v>-1</v>
      </c>
      <c r="L93" s="68">
        <v>0</v>
      </c>
      <c r="M93" s="66" t="str">
        <f t="shared" si="26"/>
        <v>-spandrel</v>
      </c>
      <c r="N93" s="69">
        <v>1.05</v>
      </c>
      <c r="O93" s="69">
        <v>1.1499999999999999</v>
      </c>
      <c r="P93" s="69">
        <v>0.6</v>
      </c>
      <c r="Q93" s="66" t="str">
        <f t="shared" si="27"/>
        <v>$Eelement</v>
      </c>
      <c r="R93" s="66" t="str">
        <f t="shared" si="28"/>
        <v>$Gs</v>
      </c>
      <c r="S93" s="66" t="str">
        <f t="shared" si="29"/>
        <v>$fc</v>
      </c>
      <c r="T93" s="66" t="str">
        <f t="shared" si="30"/>
        <v>$mus</v>
      </c>
      <c r="U93" s="66" t="str">
        <f t="shared" si="31"/>
        <v>$coh</v>
      </c>
      <c r="V93" s="66" t="str">
        <f t="shared" si="32"/>
        <v>$Gc</v>
      </c>
      <c r="W93" s="66" t="str">
        <f t="shared" si="33"/>
        <v>$dropDrift</v>
      </c>
      <c r="X93" s="66" t="str">
        <f t="shared" si="34"/>
        <v>$muR</v>
      </c>
      <c r="Y93" s="66" t="str">
        <f t="shared" si="35"/>
        <v>-density</v>
      </c>
      <c r="Z93" s="66" t="str">
        <f t="shared" si="36"/>
        <v>$rho</v>
      </c>
      <c r="AA93" s="66" t="str">
        <f t="shared" si="37"/>
        <v>-pDelta</v>
      </c>
      <c r="AB93" s="66" t="str">
        <f t="shared" si="24"/>
        <v>-secantDamping</v>
      </c>
      <c r="AC93" s="66" t="str">
        <f t="shared" si="38"/>
        <v>-driftS</v>
      </c>
      <c r="AD93" s="66" t="str">
        <f t="shared" si="39"/>
        <v>$driftS</v>
      </c>
      <c r="AE93" s="66" t="str">
        <f t="shared" si="40"/>
        <v>0.8</v>
      </c>
      <c r="AF93" s="66" t="str">
        <f t="shared" si="41"/>
        <v>-driftF</v>
      </c>
      <c r="AG93" s="66" t="str">
        <f t="shared" si="42"/>
        <v>$driftF</v>
      </c>
      <c r="AH93" s="66" t="str">
        <f t="shared" si="43"/>
        <v>0.0</v>
      </c>
      <c r="AI93" s="66" t="str" cm="1">
        <f t="array" ref="AI93">TRIM(_xlfn.TEXTJOIN(CHAR(9),TRUE,B93:M93, TEXT(ROUND(N93:P93,3),"0.000"),Q93:AD93,TEXT(ROUND(AE93,1),"0.0"),AF93:AG93,TEXT(ROUND(AH93,1),"0.0")))</f>
        <v>element Macroelement3d	80	89	46	179	1	0	0	0	-1	0	-spandrel	1.050	1.150	0.600	$Eelement	$Gs	$fc	$mus	$coh	$Gc	$dropDrift	$muR	-density	$rho	-pDelta	-secantDamping	-driftS	$driftS	0.8	-driftF	$driftF	0.0</v>
      </c>
      <c r="AT93">
        <f t="shared" si="25"/>
        <v>0.72450000000000003</v>
      </c>
    </row>
    <row r="94" spans="1:46" x14ac:dyDescent="0.3">
      <c r="A94" s="66" t="s">
        <v>21</v>
      </c>
      <c r="B94" s="66" t="s">
        <v>48</v>
      </c>
      <c r="C94" s="68">
        <v>81</v>
      </c>
      <c r="D94" s="68">
        <v>47</v>
      </c>
      <c r="E94" s="68">
        <v>48</v>
      </c>
      <c r="F94" s="68">
        <v>180</v>
      </c>
      <c r="G94" s="68">
        <v>1</v>
      </c>
      <c r="H94" s="68">
        <v>0</v>
      </c>
      <c r="I94" s="68">
        <v>0</v>
      </c>
      <c r="J94" s="68">
        <v>0</v>
      </c>
      <c r="K94" s="68">
        <v>-1</v>
      </c>
      <c r="L94" s="68">
        <v>0</v>
      </c>
      <c r="M94" s="66" t="str">
        <f t="shared" si="26"/>
        <v>-spandrel</v>
      </c>
      <c r="N94" s="69">
        <v>1.68</v>
      </c>
      <c r="O94" s="69">
        <v>1.1499999999999999</v>
      </c>
      <c r="P94" s="69">
        <v>0.6</v>
      </c>
      <c r="Q94" s="66" t="str">
        <f t="shared" si="27"/>
        <v>$Eelement</v>
      </c>
      <c r="R94" s="66" t="str">
        <f t="shared" si="28"/>
        <v>$Gs</v>
      </c>
      <c r="S94" s="66" t="str">
        <f t="shared" si="29"/>
        <v>$fc</v>
      </c>
      <c r="T94" s="66" t="str">
        <f t="shared" si="30"/>
        <v>$mus</v>
      </c>
      <c r="U94" s="66" t="str">
        <f t="shared" si="31"/>
        <v>$coh</v>
      </c>
      <c r="V94" s="66" t="str">
        <f t="shared" si="32"/>
        <v>$Gc</v>
      </c>
      <c r="W94" s="66" t="str">
        <f t="shared" si="33"/>
        <v>$dropDrift</v>
      </c>
      <c r="X94" s="66" t="str">
        <f t="shared" si="34"/>
        <v>$muR</v>
      </c>
      <c r="Y94" s="66" t="str">
        <f t="shared" si="35"/>
        <v>-density</v>
      </c>
      <c r="Z94" s="66" t="str">
        <f t="shared" si="36"/>
        <v>$rho</v>
      </c>
      <c r="AA94" s="66" t="str">
        <f t="shared" si="37"/>
        <v>-pDelta</v>
      </c>
      <c r="AB94" s="66" t="str">
        <f t="shared" si="24"/>
        <v>-secantDamping</v>
      </c>
      <c r="AC94" s="66" t="str">
        <f t="shared" si="38"/>
        <v>-driftS</v>
      </c>
      <c r="AD94" s="66" t="str">
        <f t="shared" si="39"/>
        <v>$driftS</v>
      </c>
      <c r="AE94" s="66" t="str">
        <f t="shared" si="40"/>
        <v>0.8</v>
      </c>
      <c r="AF94" s="66" t="str">
        <f t="shared" si="41"/>
        <v>-driftF</v>
      </c>
      <c r="AG94" s="66" t="str">
        <f t="shared" si="42"/>
        <v>$driftF</v>
      </c>
      <c r="AH94" s="66" t="str">
        <f t="shared" si="43"/>
        <v>0.0</v>
      </c>
      <c r="AI94" s="66" t="str" cm="1">
        <f t="array" ref="AI94">TRIM(_xlfn.TEXTJOIN(CHAR(9),TRUE,B94:M94, TEXT(ROUND(N94:P94,3),"0.000"),Q94:AD94,TEXT(ROUND(AE94,1),"0.0"),AF94:AG94,TEXT(ROUND(AH94,1),"0.0")))</f>
        <v>element Macroelement3d	81	47	48	180	1	0	0	0	-1	0	-spandrel	1.680	1.150	0.600	$Eelement	$Gs	$fc	$mus	$coh	$Gc	$dropDrift	$muR	-density	$rho	-pDelta	-secantDamping	-driftS	$driftS	0.8	-driftF	$driftF	0.0</v>
      </c>
      <c r="AT94">
        <f t="shared" si="25"/>
        <v>1.1591999999999998</v>
      </c>
    </row>
    <row r="95" spans="1:46" x14ac:dyDescent="0.3">
      <c r="A95" s="66" t="s">
        <v>21</v>
      </c>
      <c r="B95" s="66" t="s">
        <v>48</v>
      </c>
      <c r="C95" s="68">
        <v>82</v>
      </c>
      <c r="D95" s="68">
        <v>48</v>
      </c>
      <c r="E95" s="68">
        <v>74</v>
      </c>
      <c r="F95" s="68">
        <v>181</v>
      </c>
      <c r="G95" s="68">
        <v>1</v>
      </c>
      <c r="H95" s="68">
        <v>0</v>
      </c>
      <c r="I95" s="68">
        <v>0</v>
      </c>
      <c r="J95" s="68">
        <v>0</v>
      </c>
      <c r="K95" s="68">
        <v>-1</v>
      </c>
      <c r="L95" s="68">
        <v>0</v>
      </c>
      <c r="M95" s="66" t="str">
        <f t="shared" si="26"/>
        <v>-spandrel</v>
      </c>
      <c r="N95" s="69">
        <v>1.25</v>
      </c>
      <c r="O95" s="69">
        <v>1.1499999999999999</v>
      </c>
      <c r="P95" s="69">
        <v>0.6</v>
      </c>
      <c r="Q95" s="66" t="str">
        <f t="shared" si="27"/>
        <v>$Eelement</v>
      </c>
      <c r="R95" s="66" t="str">
        <f t="shared" si="28"/>
        <v>$Gs</v>
      </c>
      <c r="S95" s="66" t="str">
        <f t="shared" si="29"/>
        <v>$fc</v>
      </c>
      <c r="T95" s="66" t="str">
        <f t="shared" si="30"/>
        <v>$mus</v>
      </c>
      <c r="U95" s="66" t="str">
        <f t="shared" si="31"/>
        <v>$coh</v>
      </c>
      <c r="V95" s="66" t="str">
        <f t="shared" si="32"/>
        <v>$Gc</v>
      </c>
      <c r="W95" s="66" t="str">
        <f t="shared" si="33"/>
        <v>$dropDrift</v>
      </c>
      <c r="X95" s="66" t="str">
        <f t="shared" si="34"/>
        <v>$muR</v>
      </c>
      <c r="Y95" s="66" t="str">
        <f t="shared" si="35"/>
        <v>-density</v>
      </c>
      <c r="Z95" s="66" t="str">
        <f t="shared" si="36"/>
        <v>$rho</v>
      </c>
      <c r="AA95" s="66" t="str">
        <f t="shared" si="37"/>
        <v>-pDelta</v>
      </c>
      <c r="AB95" s="66" t="str">
        <f t="shared" si="24"/>
        <v>-secantDamping</v>
      </c>
      <c r="AC95" s="66" t="str">
        <f t="shared" si="38"/>
        <v>-driftS</v>
      </c>
      <c r="AD95" s="66" t="str">
        <f t="shared" si="39"/>
        <v>$driftS</v>
      </c>
      <c r="AE95" s="66" t="str">
        <f t="shared" si="40"/>
        <v>0.8</v>
      </c>
      <c r="AF95" s="66" t="str">
        <f t="shared" si="41"/>
        <v>-driftF</v>
      </c>
      <c r="AG95" s="66" t="str">
        <f t="shared" si="42"/>
        <v>$driftF</v>
      </c>
      <c r="AH95" s="66" t="str">
        <f t="shared" si="43"/>
        <v>0.0</v>
      </c>
      <c r="AI95" s="66" t="str" cm="1">
        <f t="array" ref="AI95">TRIM(_xlfn.TEXTJOIN(CHAR(9),TRUE,B95:M95, TEXT(ROUND(N95:P95,3),"0.000"),Q95:AD95,TEXT(ROUND(AE95,1),"0.0"),AF95:AG95,TEXT(ROUND(AH95,1),"0.0")))</f>
        <v>element Macroelement3d	82	48	74	181	1	0	0	0	-1	0	-spandrel	1.250	1.150	0.600	$Eelement	$Gs	$fc	$mus	$coh	$Gc	$dropDrift	$muR	-density	$rho	-pDelta	-secantDamping	-driftS	$driftS	0.8	-driftF	$driftF	0.0</v>
      </c>
      <c r="AT95">
        <f t="shared" si="25"/>
        <v>0.86249999999999993</v>
      </c>
    </row>
    <row r="96" spans="1:46" x14ac:dyDescent="0.3">
      <c r="A96" s="66" t="s">
        <v>21</v>
      </c>
      <c r="B96" s="66" t="s">
        <v>48</v>
      </c>
      <c r="C96" s="68">
        <v>83</v>
      </c>
      <c r="D96" s="68">
        <v>90</v>
      </c>
      <c r="E96" s="68">
        <v>89</v>
      </c>
      <c r="F96" s="68">
        <v>182</v>
      </c>
      <c r="G96" s="68">
        <v>0</v>
      </c>
      <c r="H96" s="68">
        <v>0</v>
      </c>
      <c r="I96" s="68">
        <v>1</v>
      </c>
      <c r="J96" s="68">
        <v>0</v>
      </c>
      <c r="K96" s="68">
        <v>-1</v>
      </c>
      <c r="L96" s="68">
        <v>0</v>
      </c>
      <c r="M96" s="66" t="str">
        <f t="shared" si="26"/>
        <v>-pier</v>
      </c>
      <c r="N96" s="69">
        <v>2</v>
      </c>
      <c r="O96" s="69">
        <v>2.8</v>
      </c>
      <c r="P96" s="69">
        <v>0.7</v>
      </c>
      <c r="Q96" s="66" t="str">
        <f t="shared" si="27"/>
        <v>$Eelement</v>
      </c>
      <c r="R96" s="66" t="str">
        <f t="shared" si="28"/>
        <v>$Gs</v>
      </c>
      <c r="S96" s="66" t="str">
        <f t="shared" si="29"/>
        <v>$fc</v>
      </c>
      <c r="T96" s="66" t="str">
        <f t="shared" si="30"/>
        <v>$mus</v>
      </c>
      <c r="U96" s="66" t="str">
        <f t="shared" si="31"/>
        <v>$coh</v>
      </c>
      <c r="V96" s="66" t="str">
        <f t="shared" si="32"/>
        <v>$Gc</v>
      </c>
      <c r="W96" s="66" t="str">
        <f t="shared" si="33"/>
        <v>$dropDrift</v>
      </c>
      <c r="X96" s="66" t="str">
        <f t="shared" si="34"/>
        <v>$muR</v>
      </c>
      <c r="Y96" s="66" t="str">
        <f t="shared" si="35"/>
        <v>-density</v>
      </c>
      <c r="Z96" s="66" t="str">
        <f t="shared" si="36"/>
        <v>$rho</v>
      </c>
      <c r="AA96" s="66" t="str">
        <f t="shared" si="37"/>
        <v>-pDelta</v>
      </c>
      <c r="AB96" s="66" t="str">
        <f t="shared" si="24"/>
        <v>-secantDamping</v>
      </c>
      <c r="AC96" s="66" t="str">
        <f t="shared" si="38"/>
        <v>-driftS</v>
      </c>
      <c r="AD96" s="66" t="str">
        <f t="shared" si="39"/>
        <v>$driftS</v>
      </c>
      <c r="AE96" s="66" t="str">
        <f t="shared" si="40"/>
        <v>0.8</v>
      </c>
      <c r="AF96" s="66" t="str">
        <f t="shared" si="41"/>
        <v>-driftF</v>
      </c>
      <c r="AG96" s="66" t="str">
        <f t="shared" si="42"/>
        <v>$driftF</v>
      </c>
      <c r="AH96" s="66" t="str">
        <f t="shared" si="43"/>
        <v>0.0</v>
      </c>
      <c r="AI96" s="66" t="str" cm="1">
        <f t="array" ref="AI96">TRIM(_xlfn.TEXTJOIN(CHAR(9),TRUE,B96:M96, TEXT(ROUND(N96:P96,3),"0.000"),Q96:AD96,TEXT(ROUND(AE96,1),"0.0"),AF96:AG96,TEXT(ROUND(AH96,1),"0.0")))</f>
        <v>element Macroelement3d	83	90	89	182	0	0	1	0	-1	0	-pier	2.000	2.800	0.700	$Eelement	$Gs	$fc	$mus	$coh	$Gc	$dropDrift	$muR	-density	$rho	-pDelta	-secantDamping	-driftS	$driftS	0.8	-driftF	$driftF	0.0</v>
      </c>
      <c r="AT96">
        <f t="shared" si="25"/>
        <v>3.9199999999999995</v>
      </c>
    </row>
    <row r="97" spans="1:46" x14ac:dyDescent="0.3">
      <c r="A97" s="66" t="s">
        <v>21</v>
      </c>
      <c r="B97" s="66" t="s">
        <v>48</v>
      </c>
      <c r="C97" s="68">
        <v>84</v>
      </c>
      <c r="D97" s="68">
        <v>49</v>
      </c>
      <c r="E97" s="68">
        <v>46</v>
      </c>
      <c r="F97" s="68">
        <v>183</v>
      </c>
      <c r="G97" s="68">
        <v>0</v>
      </c>
      <c r="H97" s="68">
        <v>0</v>
      </c>
      <c r="I97" s="68">
        <v>1</v>
      </c>
      <c r="J97" s="68">
        <v>0</v>
      </c>
      <c r="K97" s="68">
        <v>-1</v>
      </c>
      <c r="L97" s="68">
        <v>0</v>
      </c>
      <c r="M97" s="66" t="str">
        <f t="shared" ref="M97" si="45">IF(I97=1,"-pier","-spandrel")</f>
        <v>-pier</v>
      </c>
      <c r="N97" s="69">
        <v>2</v>
      </c>
      <c r="O97" s="69">
        <v>3.48</v>
      </c>
      <c r="P97" s="69">
        <v>0.7</v>
      </c>
      <c r="Q97" s="66" t="str">
        <f t="shared" si="27"/>
        <v>$Eelement</v>
      </c>
      <c r="R97" s="66" t="str">
        <f t="shared" si="28"/>
        <v>$Gs</v>
      </c>
      <c r="S97" s="66" t="str">
        <f t="shared" si="29"/>
        <v>$fc</v>
      </c>
      <c r="T97" s="66" t="str">
        <f t="shared" si="30"/>
        <v>$mus</v>
      </c>
      <c r="U97" s="66" t="str">
        <f t="shared" si="31"/>
        <v>$coh</v>
      </c>
      <c r="V97" s="66" t="str">
        <f t="shared" si="32"/>
        <v>$Gc</v>
      </c>
      <c r="W97" s="66" t="str">
        <f t="shared" si="33"/>
        <v>$dropDrift</v>
      </c>
      <c r="X97" s="66" t="str">
        <f t="shared" si="34"/>
        <v>$muR</v>
      </c>
      <c r="Y97" s="66" t="str">
        <f t="shared" si="35"/>
        <v>-density</v>
      </c>
      <c r="Z97" s="66" t="str">
        <f t="shared" si="36"/>
        <v>$rho</v>
      </c>
      <c r="AA97" s="66" t="str">
        <f t="shared" si="37"/>
        <v>-pDelta</v>
      </c>
      <c r="AB97" s="66" t="str">
        <f t="shared" si="24"/>
        <v>-secantDamping</v>
      </c>
      <c r="AC97" s="66" t="str">
        <f t="shared" si="38"/>
        <v>-driftS</v>
      </c>
      <c r="AD97" s="66" t="str">
        <f t="shared" si="39"/>
        <v>$driftS</v>
      </c>
      <c r="AE97" s="66" t="str">
        <f t="shared" si="40"/>
        <v>0.8</v>
      </c>
      <c r="AF97" s="66" t="str">
        <f t="shared" si="41"/>
        <v>-driftF</v>
      </c>
      <c r="AG97" s="66" t="str">
        <f t="shared" si="42"/>
        <v>$driftF</v>
      </c>
      <c r="AH97" s="66" t="str">
        <f t="shared" si="43"/>
        <v>0.0</v>
      </c>
      <c r="AI97" s="66" t="str" cm="1">
        <f t="array" ref="AI97">TRIM(_xlfn.TEXTJOIN(CHAR(9),TRUE,B97:M97, TEXT(ROUND(N97:P97,3),"0.000"),Q97:AD97,TEXT(ROUND(AE97,1),"0.0"),AF97:AG97,TEXT(ROUND(AH97,1),"0.0")))</f>
        <v>element Macroelement3d	84	49	46	183	0	0	1	0	-1	0	-pier	2.000	3.480	0.700	$Eelement	$Gs	$fc	$mus	$coh	$Gc	$dropDrift	$muR	-density	$rho	-pDelta	-secantDamping	-driftS	$driftS	0.8	-driftF	$driftF	0.0</v>
      </c>
      <c r="AT97">
        <f t="shared" si="25"/>
        <v>4.8719999999999999</v>
      </c>
    </row>
    <row r="98" spans="1:46" x14ac:dyDescent="0.3">
      <c r="A98" s="66" t="s">
        <v>21</v>
      </c>
      <c r="B98" s="66" t="s">
        <v>48</v>
      </c>
      <c r="C98" s="68">
        <v>85</v>
      </c>
      <c r="D98" s="68">
        <v>50</v>
      </c>
      <c r="E98" s="68">
        <v>47</v>
      </c>
      <c r="F98" s="68">
        <v>184</v>
      </c>
      <c r="G98" s="68">
        <v>0</v>
      </c>
      <c r="H98" s="68">
        <v>0</v>
      </c>
      <c r="I98" s="68">
        <v>1</v>
      </c>
      <c r="J98" s="68">
        <v>0</v>
      </c>
      <c r="K98" s="68">
        <v>-1</v>
      </c>
      <c r="L98" s="68">
        <v>0</v>
      </c>
      <c r="M98" s="66" t="str">
        <f t="shared" si="26"/>
        <v>-pier</v>
      </c>
      <c r="N98" s="69">
        <v>2</v>
      </c>
      <c r="O98" s="69">
        <v>2.66</v>
      </c>
      <c r="P98" s="69">
        <v>0.7</v>
      </c>
      <c r="Q98" s="66" t="str">
        <f t="shared" si="27"/>
        <v>$Eelement</v>
      </c>
      <c r="R98" s="66" t="str">
        <f t="shared" si="28"/>
        <v>$Gs</v>
      </c>
      <c r="S98" s="66" t="str">
        <f t="shared" si="29"/>
        <v>$fc</v>
      </c>
      <c r="T98" s="66" t="str">
        <f t="shared" si="30"/>
        <v>$mus</v>
      </c>
      <c r="U98" s="66" t="str">
        <f t="shared" si="31"/>
        <v>$coh</v>
      </c>
      <c r="V98" s="66" t="str">
        <f t="shared" si="32"/>
        <v>$Gc</v>
      </c>
      <c r="W98" s="66" t="str">
        <f t="shared" si="33"/>
        <v>$dropDrift</v>
      </c>
      <c r="X98" s="66" t="str">
        <f t="shared" si="34"/>
        <v>$muR</v>
      </c>
      <c r="Y98" s="66" t="str">
        <f t="shared" si="35"/>
        <v>-density</v>
      </c>
      <c r="Z98" s="66" t="str">
        <f t="shared" si="36"/>
        <v>$rho</v>
      </c>
      <c r="AA98" s="66" t="str">
        <f t="shared" si="37"/>
        <v>-pDelta</v>
      </c>
      <c r="AB98" s="66" t="str">
        <f t="shared" si="24"/>
        <v>-secantDamping</v>
      </c>
      <c r="AC98" s="66" t="str">
        <f t="shared" si="38"/>
        <v>-driftS</v>
      </c>
      <c r="AD98" s="66" t="str">
        <f t="shared" si="39"/>
        <v>$driftS</v>
      </c>
      <c r="AE98" s="66" t="str">
        <f t="shared" si="40"/>
        <v>0.8</v>
      </c>
      <c r="AF98" s="66" t="str">
        <f t="shared" si="41"/>
        <v>-driftF</v>
      </c>
      <c r="AG98" s="66" t="str">
        <f t="shared" si="42"/>
        <v>$driftF</v>
      </c>
      <c r="AH98" s="66" t="str">
        <f t="shared" si="43"/>
        <v>0.0</v>
      </c>
      <c r="AI98" s="66" t="str" cm="1">
        <f t="array" ref="AI98">TRIM(_xlfn.TEXTJOIN(CHAR(9),TRUE,B98:M98, TEXT(ROUND(N98:P98,3),"0.000"),Q98:AD98,TEXT(ROUND(AE98,1),"0.0"),AF98:AG98,TEXT(ROUND(AH98,1),"0.0")))</f>
        <v>element Macroelement3d	85	50	47	184	0	0	1	0	-1	0	-pier	2.000	2.660	0.700	$Eelement	$Gs	$fc	$mus	$coh	$Gc	$dropDrift	$muR	-density	$rho	-pDelta	-secantDamping	-driftS	$driftS	0.8	-driftF	$driftF	0.0</v>
      </c>
      <c r="AT98">
        <f t="shared" si="25"/>
        <v>3.7239999999999998</v>
      </c>
    </row>
    <row r="99" spans="1:46" x14ac:dyDescent="0.3">
      <c r="A99" s="66" t="s">
        <v>21</v>
      </c>
      <c r="B99" s="66" t="s">
        <v>48</v>
      </c>
      <c r="C99" s="68">
        <v>86</v>
      </c>
      <c r="D99" s="68">
        <v>51</v>
      </c>
      <c r="E99" s="68">
        <v>48</v>
      </c>
      <c r="F99" s="68">
        <v>185</v>
      </c>
      <c r="G99" s="68">
        <v>0</v>
      </c>
      <c r="H99" s="68">
        <v>0</v>
      </c>
      <c r="I99" s="68">
        <v>1</v>
      </c>
      <c r="J99" s="68">
        <v>0</v>
      </c>
      <c r="K99" s="68">
        <v>-1</v>
      </c>
      <c r="L99" s="68">
        <v>0</v>
      </c>
      <c r="M99" s="66" t="str">
        <f t="shared" si="26"/>
        <v>-pier</v>
      </c>
      <c r="N99" s="69">
        <v>2</v>
      </c>
      <c r="O99" s="69">
        <v>1.54</v>
      </c>
      <c r="P99" s="69">
        <v>0.7</v>
      </c>
      <c r="Q99" s="66" t="str">
        <f t="shared" si="27"/>
        <v>$Eelement</v>
      </c>
      <c r="R99" s="66" t="str">
        <f t="shared" si="28"/>
        <v>$Gs</v>
      </c>
      <c r="S99" s="66" t="str">
        <f t="shared" si="29"/>
        <v>$fc</v>
      </c>
      <c r="T99" s="66" t="str">
        <f t="shared" si="30"/>
        <v>$mus</v>
      </c>
      <c r="U99" s="66" t="str">
        <f t="shared" si="31"/>
        <v>$coh</v>
      </c>
      <c r="V99" s="66" t="str">
        <f t="shared" si="32"/>
        <v>$Gc</v>
      </c>
      <c r="W99" s="66" t="str">
        <f t="shared" si="33"/>
        <v>$dropDrift</v>
      </c>
      <c r="X99" s="66" t="str">
        <f t="shared" si="34"/>
        <v>$muR</v>
      </c>
      <c r="Y99" s="66" t="str">
        <f t="shared" si="35"/>
        <v>-density</v>
      </c>
      <c r="Z99" s="66" t="str">
        <f t="shared" si="36"/>
        <v>$rho</v>
      </c>
      <c r="AA99" s="66" t="str">
        <f t="shared" si="37"/>
        <v>-pDelta</v>
      </c>
      <c r="AB99" s="66" t="str">
        <f t="shared" si="24"/>
        <v>-secantDamping</v>
      </c>
      <c r="AC99" s="66" t="str">
        <f t="shared" si="38"/>
        <v>-driftS</v>
      </c>
      <c r="AD99" s="66" t="str">
        <f t="shared" si="39"/>
        <v>$driftS</v>
      </c>
      <c r="AE99" s="66" t="str">
        <f t="shared" si="40"/>
        <v>0.8</v>
      </c>
      <c r="AF99" s="66" t="str">
        <f t="shared" si="41"/>
        <v>-driftF</v>
      </c>
      <c r="AG99" s="66" t="str">
        <f t="shared" si="42"/>
        <v>$driftF</v>
      </c>
      <c r="AH99" s="66" t="str">
        <f t="shared" si="43"/>
        <v>0.0</v>
      </c>
      <c r="AI99" s="66" t="str" cm="1">
        <f t="array" ref="AI99">TRIM(_xlfn.TEXTJOIN(CHAR(9),TRUE,B99:M99, TEXT(ROUND(N99:P99,3),"0.000"),Q99:AD99,TEXT(ROUND(AE99,1),"0.0"),AF99:AG99,TEXT(ROUND(AH99,1),"0.0")))</f>
        <v>element Macroelement3d	86	51	48	185	0	0	1	0	-1	0	-pier	2.000	1.540	0.700	$Eelement	$Gs	$fc	$mus	$coh	$Gc	$dropDrift	$muR	-density	$rho	-pDelta	-secantDamping	-driftS	$driftS	0.8	-driftF	$driftF	0.0</v>
      </c>
      <c r="AT99">
        <f t="shared" si="25"/>
        <v>2.1559999999999997</v>
      </c>
    </row>
    <row r="100" spans="1:46" x14ac:dyDescent="0.3">
      <c r="A100" s="66" t="s">
        <v>21</v>
      </c>
      <c r="B100" s="66" t="s">
        <v>48</v>
      </c>
      <c r="C100" s="68">
        <v>87</v>
      </c>
      <c r="D100" s="68">
        <v>77</v>
      </c>
      <c r="E100" s="68">
        <v>74</v>
      </c>
      <c r="F100" s="68">
        <v>186</v>
      </c>
      <c r="G100" s="68">
        <v>0</v>
      </c>
      <c r="H100" s="68">
        <v>0</v>
      </c>
      <c r="I100" s="68">
        <v>1</v>
      </c>
      <c r="J100" s="68">
        <v>0</v>
      </c>
      <c r="K100" s="68">
        <v>-1</v>
      </c>
      <c r="L100" s="68">
        <v>0</v>
      </c>
      <c r="M100" s="66" t="str">
        <f t="shared" si="26"/>
        <v>-pier</v>
      </c>
      <c r="N100" s="69">
        <v>2</v>
      </c>
      <c r="O100" s="69">
        <v>2.7</v>
      </c>
      <c r="P100" s="69">
        <v>0.7</v>
      </c>
      <c r="Q100" s="66" t="str">
        <f t="shared" si="27"/>
        <v>$Eelement</v>
      </c>
      <c r="R100" s="66" t="str">
        <f t="shared" si="28"/>
        <v>$Gs</v>
      </c>
      <c r="S100" s="66" t="str">
        <f t="shared" si="29"/>
        <v>$fc</v>
      </c>
      <c r="T100" s="66" t="str">
        <f t="shared" si="30"/>
        <v>$mus</v>
      </c>
      <c r="U100" s="66" t="str">
        <f t="shared" si="31"/>
        <v>$coh</v>
      </c>
      <c r="V100" s="66" t="str">
        <f t="shared" si="32"/>
        <v>$Gc</v>
      </c>
      <c r="W100" s="66" t="str">
        <f t="shared" si="33"/>
        <v>$dropDrift</v>
      </c>
      <c r="X100" s="66" t="str">
        <f t="shared" si="34"/>
        <v>$muR</v>
      </c>
      <c r="Y100" s="66" t="str">
        <f t="shared" si="35"/>
        <v>-density</v>
      </c>
      <c r="Z100" s="66" t="str">
        <f t="shared" si="36"/>
        <v>$rho</v>
      </c>
      <c r="AA100" s="66" t="str">
        <f t="shared" si="37"/>
        <v>-pDelta</v>
      </c>
      <c r="AB100" s="66" t="str">
        <f t="shared" si="24"/>
        <v>-secantDamping</v>
      </c>
      <c r="AC100" s="66" t="str">
        <f t="shared" si="38"/>
        <v>-driftS</v>
      </c>
      <c r="AD100" s="66" t="str">
        <f t="shared" si="39"/>
        <v>$driftS</v>
      </c>
      <c r="AE100" s="66" t="str">
        <f t="shared" si="40"/>
        <v>0.8</v>
      </c>
      <c r="AF100" s="66" t="str">
        <f t="shared" si="41"/>
        <v>-driftF</v>
      </c>
      <c r="AG100" s="66" t="str">
        <f t="shared" si="42"/>
        <v>$driftF</v>
      </c>
      <c r="AH100" s="66" t="str">
        <f t="shared" si="43"/>
        <v>0.0</v>
      </c>
      <c r="AI100" s="66" t="str" cm="1">
        <f t="array" ref="AI100">TRIM(_xlfn.TEXTJOIN(CHAR(9),TRUE,B100:M100, TEXT(ROUND(N100:P100,3),"0.000"),Q100:AD100,TEXT(ROUND(AE100,1),"0.0"),AF100:AG100,TEXT(ROUND(AH100,1),"0.0")))</f>
        <v>element Macroelement3d	87	77	74	186	0	0	1	0	-1	0	-pier	2.000	2.700	0.700	$Eelement	$Gs	$fc	$mus	$coh	$Gc	$dropDrift	$muR	-density	$rho	-pDelta	-secantDamping	-driftS	$driftS	0.8	-driftF	$driftF	0.0</v>
      </c>
      <c r="AT100">
        <f t="shared" si="25"/>
        <v>3.78</v>
      </c>
    </row>
    <row r="101" spans="1:46" x14ac:dyDescent="0.3"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N101" s="2"/>
      <c r="O101" s="2"/>
      <c r="P101" s="2"/>
      <c r="Q101" t="str">
        <f t="shared" si="27"/>
        <v/>
      </c>
      <c r="R101" t="str">
        <f t="shared" si="28"/>
        <v/>
      </c>
      <c r="S101" t="str">
        <f t="shared" si="29"/>
        <v/>
      </c>
      <c r="T101" t="str">
        <f t="shared" si="30"/>
        <v/>
      </c>
      <c r="U101" t="str">
        <f t="shared" si="31"/>
        <v/>
      </c>
      <c r="V101" t="str">
        <f t="shared" si="32"/>
        <v/>
      </c>
      <c r="W101" t="str">
        <f t="shared" si="33"/>
        <v/>
      </c>
      <c r="X101" t="str">
        <f t="shared" si="34"/>
        <v/>
      </c>
      <c r="Y101" t="str">
        <f t="shared" si="35"/>
        <v/>
      </c>
      <c r="Z101" t="str">
        <f t="shared" si="36"/>
        <v/>
      </c>
      <c r="AA101" t="str">
        <f t="shared" si="37"/>
        <v/>
      </c>
      <c r="AB101" t="str">
        <f t="shared" si="24"/>
        <v/>
      </c>
      <c r="AC101" t="str">
        <f t="shared" si="38"/>
        <v/>
      </c>
      <c r="AD101" t="str">
        <f t="shared" si="39"/>
        <v/>
      </c>
      <c r="AE101" t="str">
        <f t="shared" si="40"/>
        <v/>
      </c>
      <c r="AF101" t="str">
        <f t="shared" si="41"/>
        <v/>
      </c>
      <c r="AG101" t="str">
        <f t="shared" si="42"/>
        <v/>
      </c>
      <c r="AH101" t="str">
        <f t="shared" si="43"/>
        <v/>
      </c>
      <c r="AT101" t="str">
        <f t="shared" si="25"/>
        <v/>
      </c>
    </row>
    <row r="102" spans="1:46" s="38" customFormat="1" x14ac:dyDescent="0.3">
      <c r="A102" s="138" t="s">
        <v>45</v>
      </c>
      <c r="B102" s="138" t="s">
        <v>7</v>
      </c>
      <c r="C102" s="139"/>
      <c r="Q102" s="38" t="str">
        <f t="shared" si="27"/>
        <v/>
      </c>
      <c r="R102" s="38" t="str">
        <f t="shared" si="28"/>
        <v/>
      </c>
      <c r="S102" s="38" t="str">
        <f t="shared" si="29"/>
        <v/>
      </c>
      <c r="T102" s="38" t="str">
        <f t="shared" si="30"/>
        <v/>
      </c>
      <c r="U102" s="38" t="str">
        <f t="shared" si="31"/>
        <v/>
      </c>
      <c r="V102" s="38" t="str">
        <f t="shared" si="32"/>
        <v/>
      </c>
      <c r="W102" s="38" t="str">
        <f t="shared" si="33"/>
        <v/>
      </c>
      <c r="X102" s="38" t="str">
        <f t="shared" si="34"/>
        <v/>
      </c>
      <c r="Y102" s="38" t="str">
        <f t="shared" si="35"/>
        <v/>
      </c>
      <c r="Z102" s="38" t="str">
        <f t="shared" si="36"/>
        <v/>
      </c>
      <c r="AA102" s="38" t="str">
        <f t="shared" si="37"/>
        <v/>
      </c>
      <c r="AB102" s="38" t="str">
        <f t="shared" si="24"/>
        <v/>
      </c>
      <c r="AC102" s="38" t="str">
        <f t="shared" si="38"/>
        <v/>
      </c>
      <c r="AD102" s="38" t="str">
        <f t="shared" si="39"/>
        <v/>
      </c>
      <c r="AE102" s="38" t="str">
        <f t="shared" si="40"/>
        <v/>
      </c>
      <c r="AF102" s="38" t="str">
        <f t="shared" si="41"/>
        <v/>
      </c>
      <c r="AG102" s="38" t="str">
        <f t="shared" si="42"/>
        <v/>
      </c>
      <c r="AH102" s="38" t="str">
        <f t="shared" si="43"/>
        <v/>
      </c>
      <c r="AI102" s="38" t="str">
        <f>TRIM(_xlfn.TEXTJOIN(CHAR(9),TRUE,B102:AA102))</f>
        <v>#Wall 6</v>
      </c>
      <c r="AT102" s="38" t="str">
        <f t="shared" si="25"/>
        <v/>
      </c>
    </row>
    <row r="103" spans="1:46" x14ac:dyDescent="0.3">
      <c r="A103" s="66" t="s">
        <v>21</v>
      </c>
      <c r="B103" s="66" t="s">
        <v>48</v>
      </c>
      <c r="C103" s="68">
        <v>88</v>
      </c>
      <c r="D103" s="68">
        <v>59</v>
      </c>
      <c r="E103" s="68">
        <v>91</v>
      </c>
      <c r="F103" s="68">
        <v>187</v>
      </c>
      <c r="G103" s="68">
        <v>0</v>
      </c>
      <c r="H103" s="68">
        <v>1</v>
      </c>
      <c r="I103" s="68">
        <v>0</v>
      </c>
      <c r="J103" s="68">
        <v>1</v>
      </c>
      <c r="K103" s="68">
        <v>0</v>
      </c>
      <c r="L103" s="68">
        <v>0</v>
      </c>
      <c r="M103" s="66" t="str">
        <f t="shared" si="26"/>
        <v>-spandrel</v>
      </c>
      <c r="N103" s="69">
        <v>1.26</v>
      </c>
      <c r="O103" s="69">
        <v>1.1499999999999999</v>
      </c>
      <c r="P103" s="69">
        <v>0.4</v>
      </c>
      <c r="Q103" s="66" t="str">
        <f t="shared" si="27"/>
        <v>$Eelement</v>
      </c>
      <c r="R103" s="66" t="str">
        <f t="shared" si="28"/>
        <v>$Gs</v>
      </c>
      <c r="S103" s="66" t="str">
        <f t="shared" si="29"/>
        <v>$fc</v>
      </c>
      <c r="T103" s="66" t="str">
        <f t="shared" si="30"/>
        <v>$mus</v>
      </c>
      <c r="U103" s="66" t="str">
        <f t="shared" si="31"/>
        <v>$coh</v>
      </c>
      <c r="V103" s="66" t="str">
        <f t="shared" si="32"/>
        <v>$Gc</v>
      </c>
      <c r="W103" s="66" t="str">
        <f t="shared" si="33"/>
        <v>$dropDrift</v>
      </c>
      <c r="X103" s="66" t="str">
        <f t="shared" si="34"/>
        <v>$muR</v>
      </c>
      <c r="Y103" s="66" t="str">
        <f t="shared" si="35"/>
        <v>-density</v>
      </c>
      <c r="Z103" s="66" t="str">
        <f t="shared" si="36"/>
        <v>$rho</v>
      </c>
      <c r="AA103" s="66" t="str">
        <f t="shared" si="37"/>
        <v>-pDelta</v>
      </c>
      <c r="AB103" s="66" t="str">
        <f t="shared" si="24"/>
        <v>-secantDamping</v>
      </c>
      <c r="AC103" s="66" t="str">
        <f t="shared" si="38"/>
        <v>-driftS</v>
      </c>
      <c r="AD103" s="66" t="str">
        <f t="shared" si="39"/>
        <v>$driftS</v>
      </c>
      <c r="AE103" s="66" t="str">
        <f t="shared" si="40"/>
        <v>0.8</v>
      </c>
      <c r="AF103" s="66" t="str">
        <f t="shared" si="41"/>
        <v>-driftF</v>
      </c>
      <c r="AG103" s="66" t="str">
        <f t="shared" si="42"/>
        <v>$driftF</v>
      </c>
      <c r="AH103" s="66" t="str">
        <f t="shared" si="43"/>
        <v>0.0</v>
      </c>
      <c r="AI103" s="66" t="str" cm="1">
        <f t="array" ref="AI103">TRIM(_xlfn.TEXTJOIN(CHAR(9),TRUE,B103:M103, TEXT(ROUND(N103:P103,3),"0.000"),Q103:AD103,TEXT(ROUND(AE103,1),"0.0"),AF103:AG103,TEXT(ROUND(AH103,1),"0.0")))</f>
        <v>element Macroelement3d	88	59	91	187	0	1	0	1	0	0	-spandrel	1.260	1.150	0.400	$Eelement	$Gs	$fc	$mus	$coh	$Gc	$dropDrift	$muR	-density	$rho	-pDelta	-secantDamping	-driftS	$driftS	0.8	-driftF	$driftF	0.0</v>
      </c>
      <c r="AT103">
        <f t="shared" si="25"/>
        <v>0.5796</v>
      </c>
    </row>
    <row r="104" spans="1:46" x14ac:dyDescent="0.3">
      <c r="A104" s="66" t="s">
        <v>21</v>
      </c>
      <c r="B104" s="66" t="s">
        <v>48</v>
      </c>
      <c r="C104" s="68">
        <v>89</v>
      </c>
      <c r="D104" s="68">
        <v>91</v>
      </c>
      <c r="E104" s="68">
        <v>80</v>
      </c>
      <c r="F104" s="68">
        <v>188</v>
      </c>
      <c r="G104" s="68">
        <v>0</v>
      </c>
      <c r="H104" s="68">
        <v>1</v>
      </c>
      <c r="I104" s="68">
        <v>0</v>
      </c>
      <c r="J104" s="68">
        <v>1</v>
      </c>
      <c r="K104" s="68">
        <v>0</v>
      </c>
      <c r="L104" s="68">
        <v>0</v>
      </c>
      <c r="M104" s="66" t="str">
        <f t="shared" si="26"/>
        <v>-spandrel</v>
      </c>
      <c r="N104" s="69">
        <v>1.4</v>
      </c>
      <c r="O104" s="69">
        <v>1.1499999999999999</v>
      </c>
      <c r="P104" s="69">
        <v>0.4</v>
      </c>
      <c r="Q104" s="66" t="str">
        <f t="shared" si="27"/>
        <v>$Eelement</v>
      </c>
      <c r="R104" s="66" t="str">
        <f t="shared" si="28"/>
        <v>$Gs</v>
      </c>
      <c r="S104" s="66" t="str">
        <f t="shared" si="29"/>
        <v>$fc</v>
      </c>
      <c r="T104" s="66" t="str">
        <f t="shared" si="30"/>
        <v>$mus</v>
      </c>
      <c r="U104" s="66" t="str">
        <f t="shared" si="31"/>
        <v>$coh</v>
      </c>
      <c r="V104" s="66" t="str">
        <f t="shared" si="32"/>
        <v>$Gc</v>
      </c>
      <c r="W104" s="66" t="str">
        <f t="shared" si="33"/>
        <v>$dropDrift</v>
      </c>
      <c r="X104" s="66" t="str">
        <f t="shared" si="34"/>
        <v>$muR</v>
      </c>
      <c r="Y104" s="66" t="str">
        <f t="shared" si="35"/>
        <v>-density</v>
      </c>
      <c r="Z104" s="66" t="str">
        <f t="shared" si="36"/>
        <v>$rho</v>
      </c>
      <c r="AA104" s="66" t="str">
        <f t="shared" si="37"/>
        <v>-pDelta</v>
      </c>
      <c r="AB104" s="66" t="str">
        <f t="shared" si="24"/>
        <v>-secantDamping</v>
      </c>
      <c r="AC104" s="66" t="str">
        <f t="shared" si="38"/>
        <v>-driftS</v>
      </c>
      <c r="AD104" s="66" t="str">
        <f t="shared" si="39"/>
        <v>$driftS</v>
      </c>
      <c r="AE104" s="66" t="str">
        <f t="shared" si="40"/>
        <v>0.8</v>
      </c>
      <c r="AF104" s="66" t="str">
        <f t="shared" si="41"/>
        <v>-driftF</v>
      </c>
      <c r="AG104" s="66" t="str">
        <f t="shared" si="42"/>
        <v>$driftF</v>
      </c>
      <c r="AH104" s="66" t="str">
        <f t="shared" si="43"/>
        <v>0.0</v>
      </c>
      <c r="AI104" s="66" t="str" cm="1">
        <f t="array" ref="AI104">TRIM(_xlfn.TEXTJOIN(CHAR(9),TRUE,B104:M104, TEXT(ROUND(N104:P104,3),"0.000"),Q104:AD104,TEXT(ROUND(AE104,1),"0.0"),AF104:AG104,TEXT(ROUND(AH104,1),"0.0")))</f>
        <v>element Macroelement3d	89	91	80	188	0	1	0	1	0	0	-spandrel	1.400	1.150	0.400	$Eelement	$Gs	$fc	$mus	$coh	$Gc	$dropDrift	$muR	-density	$rho	-pDelta	-secantDamping	-driftS	$driftS	0.8	-driftF	$driftF	0.0</v>
      </c>
      <c r="AT104">
        <f t="shared" si="25"/>
        <v>0.64400000000000002</v>
      </c>
    </row>
    <row r="105" spans="1:46" x14ac:dyDescent="0.3">
      <c r="A105" s="66" t="s">
        <v>21</v>
      </c>
      <c r="B105" s="66" t="s">
        <v>48</v>
      </c>
      <c r="C105" s="68">
        <v>90</v>
      </c>
      <c r="D105" s="68">
        <v>63</v>
      </c>
      <c r="E105" s="68">
        <v>59</v>
      </c>
      <c r="F105" s="68">
        <v>189</v>
      </c>
      <c r="G105" s="68">
        <v>0</v>
      </c>
      <c r="H105" s="68">
        <v>0</v>
      </c>
      <c r="I105" s="68">
        <v>1</v>
      </c>
      <c r="J105" s="68">
        <v>1</v>
      </c>
      <c r="K105" s="68">
        <v>0</v>
      </c>
      <c r="L105" s="68">
        <v>0</v>
      </c>
      <c r="M105" s="66" t="str">
        <f t="shared" si="26"/>
        <v>-pier</v>
      </c>
      <c r="N105" s="69">
        <v>2</v>
      </c>
      <c r="O105" s="69">
        <v>0.6</v>
      </c>
      <c r="P105" s="69">
        <v>0.4</v>
      </c>
      <c r="Q105" s="66" t="str">
        <f t="shared" si="27"/>
        <v>$Eelement</v>
      </c>
      <c r="R105" s="66" t="str">
        <f t="shared" si="28"/>
        <v>$Gs</v>
      </c>
      <c r="S105" s="66" t="str">
        <f t="shared" si="29"/>
        <v>$fc</v>
      </c>
      <c r="T105" s="66" t="str">
        <f t="shared" si="30"/>
        <v>$mus</v>
      </c>
      <c r="U105" s="66" t="str">
        <f t="shared" si="31"/>
        <v>$coh</v>
      </c>
      <c r="V105" s="66" t="str">
        <f t="shared" si="32"/>
        <v>$Gc</v>
      </c>
      <c r="W105" s="66" t="str">
        <f t="shared" si="33"/>
        <v>$dropDrift</v>
      </c>
      <c r="X105" s="66" t="str">
        <f t="shared" si="34"/>
        <v>$muR</v>
      </c>
      <c r="Y105" s="66" t="str">
        <f t="shared" si="35"/>
        <v>-density</v>
      </c>
      <c r="Z105" s="66" t="str">
        <f t="shared" si="36"/>
        <v>$rho</v>
      </c>
      <c r="AA105" s="66" t="str">
        <f t="shared" si="37"/>
        <v>-pDelta</v>
      </c>
      <c r="AB105" s="66" t="str">
        <f t="shared" ref="AB105:AB138" si="46">IF(W105="","",$AB$7)</f>
        <v>-secantDamping</v>
      </c>
      <c r="AC105" s="66" t="str">
        <f t="shared" si="38"/>
        <v>-driftS</v>
      </c>
      <c r="AD105" s="66" t="str">
        <f t="shared" si="39"/>
        <v>$driftS</v>
      </c>
      <c r="AE105" s="66" t="str">
        <f t="shared" si="40"/>
        <v>0.8</v>
      </c>
      <c r="AF105" s="66" t="str">
        <f t="shared" si="41"/>
        <v>-driftF</v>
      </c>
      <c r="AG105" s="66" t="str">
        <f t="shared" si="42"/>
        <v>$driftF</v>
      </c>
      <c r="AH105" s="66" t="str">
        <f t="shared" si="43"/>
        <v>0.0</v>
      </c>
      <c r="AI105" s="66" t="str" cm="1">
        <f t="array" ref="AI105">TRIM(_xlfn.TEXTJOIN(CHAR(9),TRUE,B105:M105, TEXT(ROUND(N105:P105,3),"0.000"),Q105:AD105,TEXT(ROUND(AE105,1),"0.0"),AF105:AG105,TEXT(ROUND(AH105,1),"0.0")))</f>
        <v>element Macroelement3d	90	63	59	189	0	0	1	1	0	0	-pier	2.000	0.600	0.400	$Eelement	$Gs	$fc	$mus	$coh	$Gc	$dropDrift	$muR	-density	$rho	-pDelta	-secantDamping	-driftS	$driftS	0.8	-driftF	$driftF	0.0</v>
      </c>
      <c r="AT105">
        <f t="shared" ref="AT105:AT137" si="47">IF(C105="","",N105*O105*P105)</f>
        <v>0.48</v>
      </c>
    </row>
    <row r="106" spans="1:46" x14ac:dyDescent="0.3">
      <c r="A106" s="66" t="s">
        <v>21</v>
      </c>
      <c r="B106" s="66" t="s">
        <v>48</v>
      </c>
      <c r="C106" s="68">
        <v>91</v>
      </c>
      <c r="D106" s="68">
        <v>94</v>
      </c>
      <c r="E106" s="68">
        <v>91</v>
      </c>
      <c r="F106" s="68">
        <v>190</v>
      </c>
      <c r="G106" s="68">
        <v>0</v>
      </c>
      <c r="H106" s="68">
        <v>0</v>
      </c>
      <c r="I106" s="68">
        <v>1</v>
      </c>
      <c r="J106" s="68">
        <v>1</v>
      </c>
      <c r="K106" s="68">
        <v>0</v>
      </c>
      <c r="L106" s="68">
        <v>0</v>
      </c>
      <c r="M106" s="66" t="str">
        <f t="shared" si="26"/>
        <v>-pier</v>
      </c>
      <c r="N106" s="69">
        <v>2</v>
      </c>
      <c r="O106" s="69">
        <v>5.86</v>
      </c>
      <c r="P106" s="69">
        <v>0.4</v>
      </c>
      <c r="Q106" s="66" t="str">
        <f t="shared" si="27"/>
        <v>$Eelement</v>
      </c>
      <c r="R106" s="66" t="str">
        <f t="shared" si="28"/>
        <v>$Gs</v>
      </c>
      <c r="S106" s="66" t="str">
        <f t="shared" si="29"/>
        <v>$fc</v>
      </c>
      <c r="T106" s="66" t="str">
        <f t="shared" si="30"/>
        <v>$mus</v>
      </c>
      <c r="U106" s="66" t="str">
        <f t="shared" si="31"/>
        <v>$coh</v>
      </c>
      <c r="V106" s="66" t="str">
        <f t="shared" si="32"/>
        <v>$Gc</v>
      </c>
      <c r="W106" s="66" t="str">
        <f t="shared" si="33"/>
        <v>$dropDrift</v>
      </c>
      <c r="X106" s="66" t="str">
        <f t="shared" si="34"/>
        <v>$muR</v>
      </c>
      <c r="Y106" s="66" t="str">
        <f t="shared" si="35"/>
        <v>-density</v>
      </c>
      <c r="Z106" s="66" t="str">
        <f t="shared" si="36"/>
        <v>$rho</v>
      </c>
      <c r="AA106" s="66" t="str">
        <f t="shared" si="37"/>
        <v>-pDelta</v>
      </c>
      <c r="AB106" s="66" t="str">
        <f t="shared" si="46"/>
        <v>-secantDamping</v>
      </c>
      <c r="AC106" s="66" t="str">
        <f t="shared" si="38"/>
        <v>-driftS</v>
      </c>
      <c r="AD106" s="66" t="str">
        <f t="shared" si="39"/>
        <v>$driftS</v>
      </c>
      <c r="AE106" s="66" t="str">
        <f t="shared" si="40"/>
        <v>0.8</v>
      </c>
      <c r="AF106" s="66" t="str">
        <f t="shared" si="41"/>
        <v>-driftF</v>
      </c>
      <c r="AG106" s="66" t="str">
        <f t="shared" si="42"/>
        <v>$driftF</v>
      </c>
      <c r="AH106" s="66" t="str">
        <f t="shared" si="43"/>
        <v>0.0</v>
      </c>
      <c r="AI106" s="66" t="str" cm="1">
        <f t="array" ref="AI106">TRIM(_xlfn.TEXTJOIN(CHAR(9),TRUE,B106:M106, TEXT(ROUND(N106:P106,3),"0.000"),Q106:AD106,TEXT(ROUND(AE106,1),"0.0"),AF106:AG106,TEXT(ROUND(AH106,1),"0.0")))</f>
        <v>element Macroelement3d	91	94	91	190	0	0	1	1	0	0	-pier	2.000	5.860	0.400	$Eelement	$Gs	$fc	$mus	$coh	$Gc	$dropDrift	$muR	-density	$rho	-pDelta	-secantDamping	-driftS	$driftS	0.8	-driftF	$driftF	0.0</v>
      </c>
      <c r="AT106">
        <f t="shared" si="47"/>
        <v>4.6880000000000006</v>
      </c>
    </row>
    <row r="107" spans="1:46" x14ac:dyDescent="0.3">
      <c r="A107" s="66" t="s">
        <v>21</v>
      </c>
      <c r="B107" s="66" t="s">
        <v>48</v>
      </c>
      <c r="C107" s="68">
        <v>92</v>
      </c>
      <c r="D107" s="68">
        <v>83</v>
      </c>
      <c r="E107" s="68">
        <v>80</v>
      </c>
      <c r="F107" s="68">
        <v>191</v>
      </c>
      <c r="G107" s="68">
        <v>0</v>
      </c>
      <c r="H107" s="68">
        <v>0</v>
      </c>
      <c r="I107" s="68">
        <v>1</v>
      </c>
      <c r="J107" s="68">
        <v>1</v>
      </c>
      <c r="K107" s="68">
        <v>0</v>
      </c>
      <c r="L107" s="68">
        <v>0</v>
      </c>
      <c r="M107" s="66" t="str">
        <f t="shared" si="26"/>
        <v>-pier</v>
      </c>
      <c r="N107" s="69">
        <v>2</v>
      </c>
      <c r="O107" s="69">
        <v>2.23</v>
      </c>
      <c r="P107" s="69">
        <v>0.4</v>
      </c>
      <c r="Q107" s="66" t="str">
        <f t="shared" si="27"/>
        <v>$Eelement</v>
      </c>
      <c r="R107" s="66" t="str">
        <f t="shared" si="28"/>
        <v>$Gs</v>
      </c>
      <c r="S107" s="66" t="str">
        <f t="shared" si="29"/>
        <v>$fc</v>
      </c>
      <c r="T107" s="66" t="str">
        <f t="shared" si="30"/>
        <v>$mus</v>
      </c>
      <c r="U107" s="66" t="str">
        <f t="shared" si="31"/>
        <v>$coh</v>
      </c>
      <c r="V107" s="66" t="str">
        <f t="shared" si="32"/>
        <v>$Gc</v>
      </c>
      <c r="W107" s="66" t="str">
        <f t="shared" si="33"/>
        <v>$dropDrift</v>
      </c>
      <c r="X107" s="66" t="str">
        <f t="shared" si="34"/>
        <v>$muR</v>
      </c>
      <c r="Y107" s="66" t="str">
        <f t="shared" si="35"/>
        <v>-density</v>
      </c>
      <c r="Z107" s="66" t="str">
        <f t="shared" si="36"/>
        <v>$rho</v>
      </c>
      <c r="AA107" s="66" t="str">
        <f t="shared" si="37"/>
        <v>-pDelta</v>
      </c>
      <c r="AB107" s="66" t="str">
        <f t="shared" si="46"/>
        <v>-secantDamping</v>
      </c>
      <c r="AC107" s="66" t="str">
        <f t="shared" si="38"/>
        <v>-driftS</v>
      </c>
      <c r="AD107" s="66" t="str">
        <f t="shared" si="39"/>
        <v>$driftS</v>
      </c>
      <c r="AE107" s="66" t="str">
        <f t="shared" si="40"/>
        <v>0.8</v>
      </c>
      <c r="AF107" s="66" t="str">
        <f t="shared" si="41"/>
        <v>-driftF</v>
      </c>
      <c r="AG107" s="66" t="str">
        <f t="shared" si="42"/>
        <v>$driftF</v>
      </c>
      <c r="AH107" s="66" t="str">
        <f t="shared" si="43"/>
        <v>0.0</v>
      </c>
      <c r="AI107" s="66" t="str" cm="1">
        <f t="array" ref="AI107">TRIM(_xlfn.TEXTJOIN(CHAR(9),TRUE,B107:M107, TEXT(ROUND(N107:P107,3),"0.000"),Q107:AD107,TEXT(ROUND(AE107,1),"0.0"),AF107:AG107,TEXT(ROUND(AH107,1),"0.0")))</f>
        <v>element Macroelement3d	92	83	80	191	0	0	1	1	0	0	-pier	2.000	2.230	0.400	$Eelement	$Gs	$fc	$mus	$coh	$Gc	$dropDrift	$muR	-density	$rho	-pDelta	-secantDamping	-driftS	$driftS	0.8	-driftF	$driftF	0.0</v>
      </c>
      <c r="AT107">
        <f t="shared" si="47"/>
        <v>1.784</v>
      </c>
    </row>
    <row r="108" spans="1:46" x14ac:dyDescent="0.3">
      <c r="A108" s="66" t="s">
        <v>21</v>
      </c>
      <c r="B108" s="66" t="s">
        <v>48</v>
      </c>
      <c r="C108" s="68">
        <v>93</v>
      </c>
      <c r="D108" s="68">
        <v>63</v>
      </c>
      <c r="E108" s="68">
        <v>94</v>
      </c>
      <c r="F108" s="68">
        <v>192</v>
      </c>
      <c r="G108" s="68">
        <v>0</v>
      </c>
      <c r="H108" s="68">
        <v>1</v>
      </c>
      <c r="I108" s="68">
        <v>0</v>
      </c>
      <c r="J108" s="68">
        <v>1</v>
      </c>
      <c r="K108" s="68">
        <v>0</v>
      </c>
      <c r="L108" s="68">
        <v>0</v>
      </c>
      <c r="M108" s="66" t="str">
        <f t="shared" si="26"/>
        <v>-spandrel</v>
      </c>
      <c r="N108" s="69">
        <v>1.26</v>
      </c>
      <c r="O108" s="69">
        <v>0.95</v>
      </c>
      <c r="P108" s="69">
        <v>0.45</v>
      </c>
      <c r="Q108" s="66" t="str">
        <f t="shared" si="27"/>
        <v>$Eelement</v>
      </c>
      <c r="R108" s="66" t="str">
        <f t="shared" si="28"/>
        <v>$Gs</v>
      </c>
      <c r="S108" s="66" t="str">
        <f t="shared" si="29"/>
        <v>$fc</v>
      </c>
      <c r="T108" s="66" t="str">
        <f t="shared" si="30"/>
        <v>$mus</v>
      </c>
      <c r="U108" s="66" t="str">
        <f t="shared" si="31"/>
        <v>$coh</v>
      </c>
      <c r="V108" s="66" t="str">
        <f t="shared" si="32"/>
        <v>$Gc</v>
      </c>
      <c r="W108" s="66" t="str">
        <f t="shared" si="33"/>
        <v>$dropDrift</v>
      </c>
      <c r="X108" s="66" t="str">
        <f t="shared" si="34"/>
        <v>$muR</v>
      </c>
      <c r="Y108" s="66" t="str">
        <f t="shared" si="35"/>
        <v>-density</v>
      </c>
      <c r="Z108" s="66" t="str">
        <f t="shared" si="36"/>
        <v>$rho</v>
      </c>
      <c r="AA108" s="66" t="str">
        <f t="shared" si="37"/>
        <v>-pDelta</v>
      </c>
      <c r="AB108" s="66" t="str">
        <f t="shared" si="46"/>
        <v>-secantDamping</v>
      </c>
      <c r="AC108" s="66" t="str">
        <f t="shared" si="38"/>
        <v>-driftS</v>
      </c>
      <c r="AD108" s="66" t="str">
        <f t="shared" si="39"/>
        <v>$driftS</v>
      </c>
      <c r="AE108" s="66" t="str">
        <f t="shared" si="40"/>
        <v>0.8</v>
      </c>
      <c r="AF108" s="66" t="str">
        <f t="shared" si="41"/>
        <v>-driftF</v>
      </c>
      <c r="AG108" s="66" t="str">
        <f t="shared" si="42"/>
        <v>$driftF</v>
      </c>
      <c r="AH108" s="66" t="str">
        <f t="shared" si="43"/>
        <v>0.0</v>
      </c>
      <c r="AI108" s="66" t="str" cm="1">
        <f t="array" ref="AI108">TRIM(_xlfn.TEXTJOIN(CHAR(9),TRUE,B108:M108, TEXT(ROUND(N108:P108,3),"0.000"),Q108:AD108,TEXT(ROUND(AE108,1),"0.0"),AF108:AG108,TEXT(ROUND(AH108,1),"0.0")))</f>
        <v>element Macroelement3d	93	63	94	192	0	1	0	1	0	0	-spandrel	1.260	0.950	0.450	$Eelement	$Gs	$fc	$mus	$coh	$Gc	$dropDrift	$muR	-density	$rho	-pDelta	-secantDamping	-driftS	$driftS	0.8	-driftF	$driftF	0.0</v>
      </c>
      <c r="AT108">
        <f t="shared" si="47"/>
        <v>0.53864999999999996</v>
      </c>
    </row>
    <row r="109" spans="1:46" x14ac:dyDescent="0.3">
      <c r="A109" s="66" t="s">
        <v>21</v>
      </c>
      <c r="B109" s="66" t="s">
        <v>48</v>
      </c>
      <c r="C109" s="68">
        <v>94</v>
      </c>
      <c r="D109" s="68">
        <v>94</v>
      </c>
      <c r="E109" s="68">
        <v>83</v>
      </c>
      <c r="F109" s="68">
        <v>193</v>
      </c>
      <c r="G109" s="68">
        <v>0</v>
      </c>
      <c r="H109" s="68">
        <v>1</v>
      </c>
      <c r="I109" s="68">
        <v>0</v>
      </c>
      <c r="J109" s="68">
        <v>1</v>
      </c>
      <c r="K109" s="68">
        <v>0</v>
      </c>
      <c r="L109" s="68">
        <v>0</v>
      </c>
      <c r="M109" s="66" t="str">
        <f t="shared" si="26"/>
        <v>-spandrel</v>
      </c>
      <c r="N109" s="69">
        <v>1.4</v>
      </c>
      <c r="O109" s="69">
        <v>0.95</v>
      </c>
      <c r="P109" s="69">
        <v>0.45</v>
      </c>
      <c r="Q109" s="66" t="str">
        <f t="shared" si="27"/>
        <v>$Eelement</v>
      </c>
      <c r="R109" s="66" t="str">
        <f t="shared" si="28"/>
        <v>$Gs</v>
      </c>
      <c r="S109" s="66" t="str">
        <f t="shared" si="29"/>
        <v>$fc</v>
      </c>
      <c r="T109" s="66" t="str">
        <f t="shared" si="30"/>
        <v>$mus</v>
      </c>
      <c r="U109" s="66" t="str">
        <f t="shared" si="31"/>
        <v>$coh</v>
      </c>
      <c r="V109" s="66" t="str">
        <f t="shared" si="32"/>
        <v>$Gc</v>
      </c>
      <c r="W109" s="66" t="str">
        <f t="shared" si="33"/>
        <v>$dropDrift</v>
      </c>
      <c r="X109" s="66" t="str">
        <f t="shared" si="34"/>
        <v>$muR</v>
      </c>
      <c r="Y109" s="66" t="str">
        <f t="shared" si="35"/>
        <v>-density</v>
      </c>
      <c r="Z109" s="66" t="str">
        <f t="shared" si="36"/>
        <v>$rho</v>
      </c>
      <c r="AA109" s="66" t="str">
        <f t="shared" si="37"/>
        <v>-pDelta</v>
      </c>
      <c r="AB109" s="66" t="str">
        <f t="shared" si="46"/>
        <v>-secantDamping</v>
      </c>
      <c r="AC109" s="66" t="str">
        <f t="shared" si="38"/>
        <v>-driftS</v>
      </c>
      <c r="AD109" s="66" t="str">
        <f t="shared" si="39"/>
        <v>$driftS</v>
      </c>
      <c r="AE109" s="66" t="str">
        <f t="shared" si="40"/>
        <v>0.8</v>
      </c>
      <c r="AF109" s="66" t="str">
        <f t="shared" si="41"/>
        <v>-driftF</v>
      </c>
      <c r="AG109" s="66" t="str">
        <f t="shared" si="42"/>
        <v>$driftF</v>
      </c>
      <c r="AH109" s="66" t="str">
        <f t="shared" si="43"/>
        <v>0.0</v>
      </c>
      <c r="AI109" s="66" t="str" cm="1">
        <f t="array" ref="AI109">TRIM(_xlfn.TEXTJOIN(CHAR(9),TRUE,B109:M109, TEXT(ROUND(N109:P109,3),"0.000"),Q109:AD109,TEXT(ROUND(AE109,1),"0.0"),AF109:AG109,TEXT(ROUND(AH109,1),"0.0")))</f>
        <v>element Macroelement3d	94	94	83	193	0	1	0	1	0	0	-spandrel	1.400	0.950	0.450	$Eelement	$Gs	$fc	$mus	$coh	$Gc	$dropDrift	$muR	-density	$rho	-pDelta	-secantDamping	-driftS	$driftS	0.8	-driftF	$driftF	0.0</v>
      </c>
      <c r="AT109">
        <f t="shared" si="47"/>
        <v>0.59849999999999992</v>
      </c>
    </row>
    <row r="110" spans="1:46" x14ac:dyDescent="0.3">
      <c r="A110" s="66" t="s">
        <v>21</v>
      </c>
      <c r="B110" s="66" t="s">
        <v>48</v>
      </c>
      <c r="C110" s="68">
        <v>95</v>
      </c>
      <c r="D110" s="68">
        <v>67</v>
      </c>
      <c r="E110" s="68">
        <v>63</v>
      </c>
      <c r="F110" s="68">
        <v>194</v>
      </c>
      <c r="G110" s="68">
        <v>0</v>
      </c>
      <c r="H110" s="68">
        <v>0</v>
      </c>
      <c r="I110" s="68">
        <v>1</v>
      </c>
      <c r="J110" s="68">
        <v>1</v>
      </c>
      <c r="K110" s="68">
        <v>0</v>
      </c>
      <c r="L110" s="68">
        <v>0</v>
      </c>
      <c r="M110" s="66" t="str">
        <f t="shared" si="26"/>
        <v>-pier</v>
      </c>
      <c r="N110" s="69">
        <v>2</v>
      </c>
      <c r="O110" s="69">
        <v>0.6</v>
      </c>
      <c r="P110" s="69">
        <v>0.5</v>
      </c>
      <c r="Q110" s="66" t="str">
        <f t="shared" si="27"/>
        <v>$Eelement</v>
      </c>
      <c r="R110" s="66" t="str">
        <f t="shared" si="28"/>
        <v>$Gs</v>
      </c>
      <c r="S110" s="66" t="str">
        <f t="shared" si="29"/>
        <v>$fc</v>
      </c>
      <c r="T110" s="66" t="str">
        <f t="shared" si="30"/>
        <v>$mus</v>
      </c>
      <c r="U110" s="66" t="str">
        <f t="shared" si="31"/>
        <v>$coh</v>
      </c>
      <c r="V110" s="66" t="str">
        <f t="shared" si="32"/>
        <v>$Gc</v>
      </c>
      <c r="W110" s="66" t="str">
        <f t="shared" si="33"/>
        <v>$dropDrift</v>
      </c>
      <c r="X110" s="66" t="str">
        <f t="shared" si="34"/>
        <v>$muR</v>
      </c>
      <c r="Y110" s="66" t="str">
        <f t="shared" si="35"/>
        <v>-density</v>
      </c>
      <c r="Z110" s="66" t="str">
        <f t="shared" si="36"/>
        <v>$rho</v>
      </c>
      <c r="AA110" s="66" t="str">
        <f t="shared" si="37"/>
        <v>-pDelta</v>
      </c>
      <c r="AB110" s="66" t="str">
        <f t="shared" si="46"/>
        <v>-secantDamping</v>
      </c>
      <c r="AC110" s="66" t="str">
        <f t="shared" si="38"/>
        <v>-driftS</v>
      </c>
      <c r="AD110" s="66" t="str">
        <f t="shared" si="39"/>
        <v>$driftS</v>
      </c>
      <c r="AE110" s="66" t="str">
        <f t="shared" si="40"/>
        <v>0.8</v>
      </c>
      <c r="AF110" s="66" t="str">
        <f t="shared" si="41"/>
        <v>-driftF</v>
      </c>
      <c r="AG110" s="66" t="str">
        <f t="shared" si="42"/>
        <v>$driftF</v>
      </c>
      <c r="AH110" s="66" t="str">
        <f t="shared" si="43"/>
        <v>0.0</v>
      </c>
      <c r="AI110" s="66" t="str" cm="1">
        <f t="array" ref="AI110">TRIM(_xlfn.TEXTJOIN(CHAR(9),TRUE,B110:M110, TEXT(ROUND(N110:P110,3),"0.000"),Q110:AD110,TEXT(ROUND(AE110,1),"0.0"),AF110:AG110,TEXT(ROUND(AH110,1),"0.0")))</f>
        <v>element Macroelement3d	95	67	63	194	0	0	1	1	0	0	-pier	2.000	0.600	0.500	$Eelement	$Gs	$fc	$mus	$coh	$Gc	$dropDrift	$muR	-density	$rho	-pDelta	-secantDamping	-driftS	$driftS	0.8	-driftF	$driftF	0.0</v>
      </c>
      <c r="AT110">
        <f t="shared" si="47"/>
        <v>0.6</v>
      </c>
    </row>
    <row r="111" spans="1:46" x14ac:dyDescent="0.3">
      <c r="A111" s="66" t="s">
        <v>21</v>
      </c>
      <c r="B111" s="66" t="s">
        <v>48</v>
      </c>
      <c r="C111" s="68">
        <v>96</v>
      </c>
      <c r="D111" s="68">
        <v>97</v>
      </c>
      <c r="E111" s="68">
        <v>94</v>
      </c>
      <c r="F111" s="68">
        <v>195</v>
      </c>
      <c r="G111" s="68">
        <v>0</v>
      </c>
      <c r="H111" s="68">
        <v>0</v>
      </c>
      <c r="I111" s="68">
        <v>1</v>
      </c>
      <c r="J111" s="68">
        <v>1</v>
      </c>
      <c r="K111" s="68">
        <v>0</v>
      </c>
      <c r="L111" s="68">
        <v>0</v>
      </c>
      <c r="M111" s="66" t="str">
        <f t="shared" si="26"/>
        <v>-pier</v>
      </c>
      <c r="N111" s="69">
        <v>2</v>
      </c>
      <c r="O111" s="69">
        <v>5.86</v>
      </c>
      <c r="P111" s="69">
        <v>0.5</v>
      </c>
      <c r="Q111" s="66" t="str">
        <f t="shared" si="27"/>
        <v>$Eelement</v>
      </c>
      <c r="R111" s="66" t="str">
        <f t="shared" si="28"/>
        <v>$Gs</v>
      </c>
      <c r="S111" s="66" t="str">
        <f t="shared" si="29"/>
        <v>$fc</v>
      </c>
      <c r="T111" s="66" t="str">
        <f t="shared" si="30"/>
        <v>$mus</v>
      </c>
      <c r="U111" s="66" t="str">
        <f t="shared" si="31"/>
        <v>$coh</v>
      </c>
      <c r="V111" s="66" t="str">
        <f t="shared" si="32"/>
        <v>$Gc</v>
      </c>
      <c r="W111" s="66" t="str">
        <f t="shared" si="33"/>
        <v>$dropDrift</v>
      </c>
      <c r="X111" s="66" t="str">
        <f t="shared" si="34"/>
        <v>$muR</v>
      </c>
      <c r="Y111" s="66" t="str">
        <f t="shared" si="35"/>
        <v>-density</v>
      </c>
      <c r="Z111" s="66" t="str">
        <f t="shared" si="36"/>
        <v>$rho</v>
      </c>
      <c r="AA111" s="66" t="str">
        <f t="shared" si="37"/>
        <v>-pDelta</v>
      </c>
      <c r="AB111" s="66" t="str">
        <f t="shared" si="46"/>
        <v>-secantDamping</v>
      </c>
      <c r="AC111" s="66" t="str">
        <f t="shared" si="38"/>
        <v>-driftS</v>
      </c>
      <c r="AD111" s="66" t="str">
        <f t="shared" si="39"/>
        <v>$driftS</v>
      </c>
      <c r="AE111" s="66" t="str">
        <f t="shared" si="40"/>
        <v>0.8</v>
      </c>
      <c r="AF111" s="66" t="str">
        <f t="shared" si="41"/>
        <v>-driftF</v>
      </c>
      <c r="AG111" s="66" t="str">
        <f t="shared" si="42"/>
        <v>$driftF</v>
      </c>
      <c r="AH111" s="66" t="str">
        <f t="shared" si="43"/>
        <v>0.0</v>
      </c>
      <c r="AI111" s="66" t="str" cm="1">
        <f t="array" ref="AI111">TRIM(_xlfn.TEXTJOIN(CHAR(9),TRUE,B111:M111, TEXT(ROUND(N111:P111,3),"0.000"),Q111:AD111,TEXT(ROUND(AE111,1),"0.0"),AF111:AG111,TEXT(ROUND(AH111,1),"0.0")))</f>
        <v>element Macroelement3d	96	97	94	195	0	0	1	1	0	0	-pier	2.000	5.860	0.500	$Eelement	$Gs	$fc	$mus	$coh	$Gc	$dropDrift	$muR	-density	$rho	-pDelta	-secantDamping	-driftS	$driftS	0.8	-driftF	$driftF	0.0</v>
      </c>
      <c r="AT111">
        <f t="shared" si="47"/>
        <v>5.86</v>
      </c>
    </row>
    <row r="112" spans="1:46" x14ac:dyDescent="0.3">
      <c r="A112" s="66" t="s">
        <v>21</v>
      </c>
      <c r="B112" s="66" t="s">
        <v>48</v>
      </c>
      <c r="C112" s="68">
        <v>97</v>
      </c>
      <c r="D112" s="68">
        <v>86</v>
      </c>
      <c r="E112" s="68">
        <v>83</v>
      </c>
      <c r="F112" s="68">
        <v>196</v>
      </c>
      <c r="G112" s="68">
        <v>0</v>
      </c>
      <c r="H112" s="68">
        <v>0</v>
      </c>
      <c r="I112" s="68">
        <v>1</v>
      </c>
      <c r="J112" s="68">
        <v>1</v>
      </c>
      <c r="K112" s="68">
        <v>0</v>
      </c>
      <c r="L112" s="68">
        <v>0</v>
      </c>
      <c r="M112" s="66" t="str">
        <f t="shared" si="26"/>
        <v>-pier</v>
      </c>
      <c r="N112" s="69">
        <v>2</v>
      </c>
      <c r="O112" s="69">
        <v>2.23</v>
      </c>
      <c r="P112" s="69">
        <v>0.5</v>
      </c>
      <c r="Q112" s="66" t="str">
        <f t="shared" si="27"/>
        <v>$Eelement</v>
      </c>
      <c r="R112" s="66" t="str">
        <f t="shared" si="28"/>
        <v>$Gs</v>
      </c>
      <c r="S112" s="66" t="str">
        <f t="shared" si="29"/>
        <v>$fc</v>
      </c>
      <c r="T112" s="66" t="str">
        <f t="shared" si="30"/>
        <v>$mus</v>
      </c>
      <c r="U112" s="66" t="str">
        <f t="shared" si="31"/>
        <v>$coh</v>
      </c>
      <c r="V112" s="66" t="str">
        <f t="shared" si="32"/>
        <v>$Gc</v>
      </c>
      <c r="W112" s="66" t="str">
        <f t="shared" si="33"/>
        <v>$dropDrift</v>
      </c>
      <c r="X112" s="66" t="str">
        <f t="shared" si="34"/>
        <v>$muR</v>
      </c>
      <c r="Y112" s="66" t="str">
        <f t="shared" si="35"/>
        <v>-density</v>
      </c>
      <c r="Z112" s="66" t="str">
        <f t="shared" si="36"/>
        <v>$rho</v>
      </c>
      <c r="AA112" s="66" t="str">
        <f t="shared" si="37"/>
        <v>-pDelta</v>
      </c>
      <c r="AB112" s="66" t="str">
        <f t="shared" si="46"/>
        <v>-secantDamping</v>
      </c>
      <c r="AC112" s="66" t="str">
        <f t="shared" si="38"/>
        <v>-driftS</v>
      </c>
      <c r="AD112" s="66" t="str">
        <f t="shared" si="39"/>
        <v>$driftS</v>
      </c>
      <c r="AE112" s="66" t="str">
        <f t="shared" si="40"/>
        <v>0.8</v>
      </c>
      <c r="AF112" s="66" t="str">
        <f t="shared" si="41"/>
        <v>-driftF</v>
      </c>
      <c r="AG112" s="66" t="str">
        <f t="shared" si="42"/>
        <v>$driftF</v>
      </c>
      <c r="AH112" s="66" t="str">
        <f t="shared" si="43"/>
        <v>0.0</v>
      </c>
      <c r="AI112" s="66" t="str" cm="1">
        <f t="array" ref="AI112">TRIM(_xlfn.TEXTJOIN(CHAR(9),TRUE,B112:M112, TEXT(ROUND(N112:P112,3),"0.000"),Q112:AD112,TEXT(ROUND(AE112,1),"0.0"),AF112:AG112,TEXT(ROUND(AH112,1),"0.0")))</f>
        <v>element Macroelement3d	97	86	83	196	0	0	1	1	0	0	-pier	2.000	2.230	0.500	$Eelement	$Gs	$fc	$mus	$coh	$Gc	$dropDrift	$muR	-density	$rho	-pDelta	-secantDamping	-driftS	$driftS	0.8	-driftF	$driftF	0.0</v>
      </c>
      <c r="AT112">
        <f t="shared" si="47"/>
        <v>2.23</v>
      </c>
    </row>
    <row r="113" spans="1:46" x14ac:dyDescent="0.3"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N113" s="2"/>
      <c r="O113" s="2"/>
      <c r="P113" s="2"/>
      <c r="Q113" t="str">
        <f t="shared" si="27"/>
        <v/>
      </c>
      <c r="R113" t="str">
        <f t="shared" si="28"/>
        <v/>
      </c>
      <c r="S113" t="str">
        <f t="shared" si="29"/>
        <v/>
      </c>
      <c r="T113" t="str">
        <f t="shared" si="30"/>
        <v/>
      </c>
      <c r="U113" t="str">
        <f t="shared" si="31"/>
        <v/>
      </c>
      <c r="V113" t="str">
        <f t="shared" si="32"/>
        <v/>
      </c>
      <c r="W113" t="str">
        <f t="shared" si="33"/>
        <v/>
      </c>
      <c r="X113" t="str">
        <f t="shared" si="34"/>
        <v/>
      </c>
      <c r="Y113" t="str">
        <f t="shared" si="35"/>
        <v/>
      </c>
      <c r="Z113" t="str">
        <f t="shared" si="36"/>
        <v/>
      </c>
      <c r="AA113" t="str">
        <f t="shared" si="37"/>
        <v/>
      </c>
      <c r="AB113" t="str">
        <f t="shared" si="46"/>
        <v/>
      </c>
      <c r="AC113" t="str">
        <f t="shared" si="38"/>
        <v/>
      </c>
      <c r="AD113" t="str">
        <f t="shared" si="39"/>
        <v/>
      </c>
      <c r="AE113" t="str">
        <f t="shared" si="40"/>
        <v/>
      </c>
      <c r="AF113" t="str">
        <f t="shared" si="41"/>
        <v/>
      </c>
      <c r="AG113" t="str">
        <f t="shared" si="42"/>
        <v/>
      </c>
      <c r="AH113" t="str">
        <f t="shared" si="43"/>
        <v/>
      </c>
      <c r="AT113" t="str">
        <f t="shared" si="47"/>
        <v/>
      </c>
    </row>
    <row r="114" spans="1:46" s="38" customFormat="1" x14ac:dyDescent="0.3">
      <c r="A114" s="138" t="s">
        <v>45</v>
      </c>
      <c r="B114" s="138" t="s">
        <v>8</v>
      </c>
      <c r="C114" s="139"/>
      <c r="Q114" s="38" t="str">
        <f t="shared" si="27"/>
        <v/>
      </c>
      <c r="R114" s="38" t="str">
        <f t="shared" si="28"/>
        <v/>
      </c>
      <c r="S114" s="38" t="str">
        <f t="shared" si="29"/>
        <v/>
      </c>
      <c r="T114" s="38" t="str">
        <f t="shared" si="30"/>
        <v/>
      </c>
      <c r="U114" s="38" t="str">
        <f t="shared" si="31"/>
        <v/>
      </c>
      <c r="V114" s="38" t="str">
        <f t="shared" si="32"/>
        <v/>
      </c>
      <c r="W114" s="38" t="str">
        <f t="shared" si="33"/>
        <v/>
      </c>
      <c r="X114" s="38" t="str">
        <f t="shared" si="34"/>
        <v/>
      </c>
      <c r="Y114" s="38" t="str">
        <f t="shared" si="35"/>
        <v/>
      </c>
      <c r="Z114" s="38" t="str">
        <f t="shared" si="36"/>
        <v/>
      </c>
      <c r="AA114" s="38" t="str">
        <f t="shared" si="37"/>
        <v/>
      </c>
      <c r="AB114" s="38" t="str">
        <f t="shared" si="46"/>
        <v/>
      </c>
      <c r="AC114" s="38" t="str">
        <f t="shared" si="38"/>
        <v/>
      </c>
      <c r="AD114" s="38" t="str">
        <f t="shared" si="39"/>
        <v/>
      </c>
      <c r="AE114" s="38" t="str">
        <f t="shared" si="40"/>
        <v/>
      </c>
      <c r="AF114" s="38" t="str">
        <f t="shared" si="41"/>
        <v/>
      </c>
      <c r="AG114" s="38" t="str">
        <f t="shared" si="42"/>
        <v/>
      </c>
      <c r="AH114" s="38" t="str">
        <f t="shared" si="43"/>
        <v/>
      </c>
      <c r="AI114" s="38" t="str">
        <f>TRIM(_xlfn.TEXTJOIN(CHAR(9),TRUE,B114:AA114))</f>
        <v>#Wall 7</v>
      </c>
      <c r="AT114" s="38" t="str">
        <f t="shared" si="47"/>
        <v/>
      </c>
    </row>
    <row r="115" spans="1:46" x14ac:dyDescent="0.3">
      <c r="A115" s="66" t="s">
        <v>21</v>
      </c>
      <c r="B115" s="66" t="s">
        <v>48</v>
      </c>
      <c r="C115" s="68">
        <v>98</v>
      </c>
      <c r="D115" s="68">
        <v>60</v>
      </c>
      <c r="E115" s="68">
        <v>52</v>
      </c>
      <c r="F115" s="68">
        <v>197</v>
      </c>
      <c r="G115" s="68">
        <v>0</v>
      </c>
      <c r="H115" s="68">
        <v>1</v>
      </c>
      <c r="I115" s="68">
        <v>0</v>
      </c>
      <c r="J115" s="68">
        <v>1</v>
      </c>
      <c r="K115" s="68">
        <v>0</v>
      </c>
      <c r="L115" s="68">
        <v>0</v>
      </c>
      <c r="M115" s="66" t="str">
        <f t="shared" si="26"/>
        <v>-spandrel</v>
      </c>
      <c r="N115" s="69">
        <v>0.9</v>
      </c>
      <c r="O115" s="69">
        <v>1.1499999999999999</v>
      </c>
      <c r="P115" s="69">
        <v>0.4</v>
      </c>
      <c r="Q115" s="66" t="str">
        <f t="shared" si="27"/>
        <v>$Eelement</v>
      </c>
      <c r="R115" s="66" t="str">
        <f t="shared" si="28"/>
        <v>$Gs</v>
      </c>
      <c r="S115" s="66" t="str">
        <f t="shared" si="29"/>
        <v>$fc</v>
      </c>
      <c r="T115" s="66" t="str">
        <f t="shared" si="30"/>
        <v>$mus</v>
      </c>
      <c r="U115" s="66" t="str">
        <f t="shared" si="31"/>
        <v>$coh</v>
      </c>
      <c r="V115" s="66" t="str">
        <f t="shared" si="32"/>
        <v>$Gc</v>
      </c>
      <c r="W115" s="66" t="str">
        <f t="shared" si="33"/>
        <v>$dropDrift</v>
      </c>
      <c r="X115" s="66" t="str">
        <f t="shared" si="34"/>
        <v>$muR</v>
      </c>
      <c r="Y115" s="66" t="str">
        <f t="shared" si="35"/>
        <v>-density</v>
      </c>
      <c r="Z115" s="66" t="str">
        <f t="shared" si="36"/>
        <v>$rho</v>
      </c>
      <c r="AA115" s="66" t="str">
        <f t="shared" si="37"/>
        <v>-pDelta</v>
      </c>
      <c r="AB115" s="66" t="str">
        <f t="shared" si="46"/>
        <v>-secantDamping</v>
      </c>
      <c r="AC115" s="66" t="str">
        <f t="shared" si="38"/>
        <v>-driftS</v>
      </c>
      <c r="AD115" s="66" t="str">
        <f t="shared" si="39"/>
        <v>$driftS</v>
      </c>
      <c r="AE115" s="66" t="str">
        <f t="shared" si="40"/>
        <v>0.8</v>
      </c>
      <c r="AF115" s="66" t="str">
        <f t="shared" si="41"/>
        <v>-driftF</v>
      </c>
      <c r="AG115" s="66" t="str">
        <f t="shared" si="42"/>
        <v>$driftF</v>
      </c>
      <c r="AH115" s="66" t="str">
        <f t="shared" si="43"/>
        <v>0.0</v>
      </c>
      <c r="AI115" s="66" t="str" cm="1">
        <f t="array" ref="AI115">TRIM(_xlfn.TEXTJOIN(CHAR(9),TRUE,B115:M115, TEXT(ROUND(N115:P115,3),"0.000"),Q115:AD115,TEXT(ROUND(AE115,1),"0.0"),AF115:AG115,TEXT(ROUND(AH115,1),"0.0")))</f>
        <v>element Macroelement3d	98	60	52	197	0	1	0	1	0	0	-spandrel	0.900	1.150	0.400	$Eelement	$Gs	$fc	$mus	$coh	$Gc	$dropDrift	$muR	-density	$rho	-pDelta	-secantDamping	-driftS	$driftS	0.8	-driftF	$driftF	0.0</v>
      </c>
      <c r="AT115">
        <f t="shared" si="47"/>
        <v>0.41399999999999998</v>
      </c>
    </row>
    <row r="116" spans="1:46" x14ac:dyDescent="0.3">
      <c r="A116" s="66" t="s">
        <v>21</v>
      </c>
      <c r="B116" s="66" t="s">
        <v>48</v>
      </c>
      <c r="C116" s="68">
        <v>99</v>
      </c>
      <c r="D116" s="68">
        <v>52</v>
      </c>
      <c r="E116" s="68">
        <v>93</v>
      </c>
      <c r="F116" s="68">
        <v>198</v>
      </c>
      <c r="G116" s="68">
        <v>0</v>
      </c>
      <c r="H116" s="68">
        <v>1</v>
      </c>
      <c r="I116" s="68">
        <v>0</v>
      </c>
      <c r="J116" s="68">
        <v>1</v>
      </c>
      <c r="K116" s="68">
        <v>0</v>
      </c>
      <c r="L116" s="68">
        <v>0</v>
      </c>
      <c r="M116" s="66" t="str">
        <f t="shared" si="26"/>
        <v>-spandrel</v>
      </c>
      <c r="N116" s="69">
        <v>1.35</v>
      </c>
      <c r="O116" s="69">
        <v>1.1499999999999999</v>
      </c>
      <c r="P116" s="69">
        <v>0.4</v>
      </c>
      <c r="Q116" s="66" t="str">
        <f t="shared" si="27"/>
        <v>$Eelement</v>
      </c>
      <c r="R116" s="66" t="str">
        <f t="shared" si="28"/>
        <v>$Gs</v>
      </c>
      <c r="S116" s="66" t="str">
        <f t="shared" si="29"/>
        <v>$fc</v>
      </c>
      <c r="T116" s="66" t="str">
        <f t="shared" si="30"/>
        <v>$mus</v>
      </c>
      <c r="U116" s="66" t="str">
        <f t="shared" si="31"/>
        <v>$coh</v>
      </c>
      <c r="V116" s="66" t="str">
        <f t="shared" si="32"/>
        <v>$Gc</v>
      </c>
      <c r="W116" s="66" t="str">
        <f t="shared" si="33"/>
        <v>$dropDrift</v>
      </c>
      <c r="X116" s="66" t="str">
        <f t="shared" si="34"/>
        <v>$muR</v>
      </c>
      <c r="Y116" s="66" t="str">
        <f t="shared" si="35"/>
        <v>-density</v>
      </c>
      <c r="Z116" s="66" t="str">
        <f t="shared" si="36"/>
        <v>$rho</v>
      </c>
      <c r="AA116" s="66" t="str">
        <f t="shared" si="37"/>
        <v>-pDelta</v>
      </c>
      <c r="AB116" s="66" t="str">
        <f t="shared" si="46"/>
        <v>-secantDamping</v>
      </c>
      <c r="AC116" s="66" t="str">
        <f t="shared" si="38"/>
        <v>-driftS</v>
      </c>
      <c r="AD116" s="66" t="str">
        <f t="shared" si="39"/>
        <v>$driftS</v>
      </c>
      <c r="AE116" s="66" t="str">
        <f t="shared" si="40"/>
        <v>0.8</v>
      </c>
      <c r="AF116" s="66" t="str">
        <f t="shared" si="41"/>
        <v>-driftF</v>
      </c>
      <c r="AG116" s="66" t="str">
        <f t="shared" si="42"/>
        <v>$driftF</v>
      </c>
      <c r="AH116" s="66" t="str">
        <f t="shared" si="43"/>
        <v>0.0</v>
      </c>
      <c r="AI116" s="66" t="str" cm="1">
        <f t="array" ref="AI116">TRIM(_xlfn.TEXTJOIN(CHAR(9),TRUE,B116:M116, TEXT(ROUND(N116:P116,3),"0.000"),Q116:AD116,TEXT(ROUND(AE116,1),"0.0"),AF116:AG116,TEXT(ROUND(AH116,1),"0.0")))</f>
        <v>element Macroelement3d	99	52	93	198	0	1	0	1	0	0	-spandrel	1.350	1.150	0.400	$Eelement	$Gs	$fc	$mus	$coh	$Gc	$dropDrift	$muR	-density	$rho	-pDelta	-secantDamping	-driftS	$driftS	0.8	-driftF	$driftF	0.0</v>
      </c>
      <c r="AT116">
        <f t="shared" si="47"/>
        <v>0.621</v>
      </c>
    </row>
    <row r="117" spans="1:46" x14ac:dyDescent="0.3">
      <c r="A117" s="66" t="s">
        <v>21</v>
      </c>
      <c r="B117" s="66" t="s">
        <v>48</v>
      </c>
      <c r="C117" s="68">
        <v>100</v>
      </c>
      <c r="D117" s="68">
        <v>93</v>
      </c>
      <c r="E117" s="68">
        <v>79</v>
      </c>
      <c r="F117" s="68">
        <v>199</v>
      </c>
      <c r="G117" s="68">
        <v>0</v>
      </c>
      <c r="H117" s="68">
        <v>1</v>
      </c>
      <c r="I117" s="68">
        <v>0</v>
      </c>
      <c r="J117" s="68">
        <v>1</v>
      </c>
      <c r="K117" s="68">
        <v>0</v>
      </c>
      <c r="L117" s="68">
        <v>0</v>
      </c>
      <c r="M117" s="66" t="str">
        <f t="shared" si="26"/>
        <v>-spandrel</v>
      </c>
      <c r="N117" s="69">
        <v>1.4</v>
      </c>
      <c r="O117" s="69">
        <v>1.1499999999999999</v>
      </c>
      <c r="P117" s="69">
        <v>0.4</v>
      </c>
      <c r="Q117" s="66" t="str">
        <f t="shared" si="27"/>
        <v>$Eelement</v>
      </c>
      <c r="R117" s="66" t="str">
        <f t="shared" si="28"/>
        <v>$Gs</v>
      </c>
      <c r="S117" s="66" t="str">
        <f t="shared" si="29"/>
        <v>$fc</v>
      </c>
      <c r="T117" s="66" t="str">
        <f t="shared" si="30"/>
        <v>$mus</v>
      </c>
      <c r="U117" s="66" t="str">
        <f t="shared" si="31"/>
        <v>$coh</v>
      </c>
      <c r="V117" s="66" t="str">
        <f t="shared" si="32"/>
        <v>$Gc</v>
      </c>
      <c r="W117" s="66" t="str">
        <f t="shared" si="33"/>
        <v>$dropDrift</v>
      </c>
      <c r="X117" s="66" t="str">
        <f t="shared" si="34"/>
        <v>$muR</v>
      </c>
      <c r="Y117" s="66" t="str">
        <f t="shared" si="35"/>
        <v>-density</v>
      </c>
      <c r="Z117" s="66" t="str">
        <f t="shared" si="36"/>
        <v>$rho</v>
      </c>
      <c r="AA117" s="66" t="str">
        <f t="shared" si="37"/>
        <v>-pDelta</v>
      </c>
      <c r="AB117" s="66" t="str">
        <f t="shared" si="46"/>
        <v>-secantDamping</v>
      </c>
      <c r="AC117" s="66" t="str">
        <f t="shared" si="38"/>
        <v>-driftS</v>
      </c>
      <c r="AD117" s="66" t="str">
        <f t="shared" si="39"/>
        <v>$driftS</v>
      </c>
      <c r="AE117" s="66" t="str">
        <f t="shared" si="40"/>
        <v>0.8</v>
      </c>
      <c r="AF117" s="66" t="str">
        <f t="shared" si="41"/>
        <v>-driftF</v>
      </c>
      <c r="AG117" s="66" t="str">
        <f t="shared" si="42"/>
        <v>$driftF</v>
      </c>
      <c r="AH117" s="66" t="str">
        <f t="shared" si="43"/>
        <v>0.0</v>
      </c>
      <c r="AI117" s="66" t="str" cm="1">
        <f t="array" ref="AI117">TRIM(_xlfn.TEXTJOIN(CHAR(9),TRUE,B117:M117, TEXT(ROUND(N117:P117,3),"0.000"),Q117:AD117,TEXT(ROUND(AE117,1),"0.0"),AF117:AG117,TEXT(ROUND(AH117,1),"0.0")))</f>
        <v>element Macroelement3d	100	93	79	199	0	1	0	1	0	0	-spandrel	1.400	1.150	0.400	$Eelement	$Gs	$fc	$mus	$coh	$Gc	$dropDrift	$muR	-density	$rho	-pDelta	-secantDamping	-driftS	$driftS	0.8	-driftF	$driftF	0.0</v>
      </c>
      <c r="AT117">
        <f t="shared" si="47"/>
        <v>0.64400000000000002</v>
      </c>
    </row>
    <row r="118" spans="1:46" x14ac:dyDescent="0.3">
      <c r="A118" s="66" t="s">
        <v>21</v>
      </c>
      <c r="B118" s="66" t="s">
        <v>48</v>
      </c>
      <c r="C118" s="68">
        <v>101</v>
      </c>
      <c r="D118" s="68">
        <v>64</v>
      </c>
      <c r="E118" s="68">
        <v>60</v>
      </c>
      <c r="F118" s="68">
        <v>200</v>
      </c>
      <c r="G118" s="68">
        <v>0</v>
      </c>
      <c r="H118" s="68">
        <v>0</v>
      </c>
      <c r="I118" s="68">
        <v>1</v>
      </c>
      <c r="J118" s="68">
        <v>1</v>
      </c>
      <c r="K118" s="68">
        <v>0</v>
      </c>
      <c r="L118" s="68">
        <v>0</v>
      </c>
      <c r="M118" s="66" t="str">
        <f t="shared" si="26"/>
        <v>-pier</v>
      </c>
      <c r="N118" s="69">
        <v>2</v>
      </c>
      <c r="O118" s="69">
        <v>0.43</v>
      </c>
      <c r="P118" s="69">
        <v>0.4</v>
      </c>
      <c r="Q118" s="66" t="str">
        <f t="shared" si="27"/>
        <v>$Eelement</v>
      </c>
      <c r="R118" s="66" t="str">
        <f t="shared" si="28"/>
        <v>$Gs</v>
      </c>
      <c r="S118" s="66" t="str">
        <f t="shared" si="29"/>
        <v>$fc</v>
      </c>
      <c r="T118" s="66" t="str">
        <f t="shared" si="30"/>
        <v>$mus</v>
      </c>
      <c r="U118" s="66" t="str">
        <f t="shared" si="31"/>
        <v>$coh</v>
      </c>
      <c r="V118" s="66" t="str">
        <f t="shared" si="32"/>
        <v>$Gc</v>
      </c>
      <c r="W118" s="66" t="str">
        <f t="shared" si="33"/>
        <v>$dropDrift</v>
      </c>
      <c r="X118" s="66" t="str">
        <f t="shared" si="34"/>
        <v>$muR</v>
      </c>
      <c r="Y118" s="66" t="str">
        <f t="shared" si="35"/>
        <v>-density</v>
      </c>
      <c r="Z118" s="66" t="str">
        <f t="shared" si="36"/>
        <v>$rho</v>
      </c>
      <c r="AA118" s="66" t="str">
        <f t="shared" si="37"/>
        <v>-pDelta</v>
      </c>
      <c r="AB118" s="66" t="str">
        <f t="shared" si="46"/>
        <v>-secantDamping</v>
      </c>
      <c r="AC118" s="66" t="str">
        <f t="shared" si="38"/>
        <v>-driftS</v>
      </c>
      <c r="AD118" s="66" t="str">
        <f t="shared" si="39"/>
        <v>$driftS</v>
      </c>
      <c r="AE118" s="66" t="str">
        <f t="shared" si="40"/>
        <v>0.8</v>
      </c>
      <c r="AF118" s="66" t="str">
        <f t="shared" si="41"/>
        <v>-driftF</v>
      </c>
      <c r="AG118" s="66" t="str">
        <f t="shared" si="42"/>
        <v>$driftF</v>
      </c>
      <c r="AH118" s="66" t="str">
        <f t="shared" si="43"/>
        <v>0.0</v>
      </c>
      <c r="AI118" s="66" t="str" cm="1">
        <f t="array" ref="AI118">TRIM(_xlfn.TEXTJOIN(CHAR(9),TRUE,B118:M118, TEXT(ROUND(N118:P118,3),"0.000"),Q118:AD118,TEXT(ROUND(AE118,1),"0.0"),AF118:AG118,TEXT(ROUND(AH118,1),"0.0")))</f>
        <v>element Macroelement3d	101	64	60	200	0	0	1	1	0	0	-pier	2.000	0.430	0.400	$Eelement	$Gs	$fc	$mus	$coh	$Gc	$dropDrift	$muR	-density	$rho	-pDelta	-secantDamping	-driftS	$driftS	0.8	-driftF	$driftF	0.0</v>
      </c>
      <c r="AT118">
        <f t="shared" si="47"/>
        <v>0.34400000000000003</v>
      </c>
    </row>
    <row r="119" spans="1:46" x14ac:dyDescent="0.3">
      <c r="A119" s="66" t="s">
        <v>21</v>
      </c>
      <c r="B119" s="66" t="s">
        <v>48</v>
      </c>
      <c r="C119" s="68">
        <v>102</v>
      </c>
      <c r="D119" s="68">
        <v>53</v>
      </c>
      <c r="E119" s="68">
        <v>52</v>
      </c>
      <c r="F119" s="68">
        <v>201</v>
      </c>
      <c r="G119" s="68">
        <v>0</v>
      </c>
      <c r="H119" s="68">
        <v>0</v>
      </c>
      <c r="I119" s="68">
        <v>1</v>
      </c>
      <c r="J119" s="68">
        <v>1</v>
      </c>
      <c r="K119" s="68">
        <v>0</v>
      </c>
      <c r="L119" s="68">
        <v>0</v>
      </c>
      <c r="M119" s="66" t="str">
        <f t="shared" si="26"/>
        <v>-pier</v>
      </c>
      <c r="N119" s="69">
        <v>2</v>
      </c>
      <c r="O119" s="69">
        <v>1.1499999999999999</v>
      </c>
      <c r="P119" s="69">
        <v>0.4</v>
      </c>
      <c r="Q119" s="66" t="str">
        <f t="shared" si="27"/>
        <v>$Eelement</v>
      </c>
      <c r="R119" s="66" t="str">
        <f t="shared" si="28"/>
        <v>$Gs</v>
      </c>
      <c r="S119" s="66" t="str">
        <f t="shared" si="29"/>
        <v>$fc</v>
      </c>
      <c r="T119" s="66" t="str">
        <f t="shared" si="30"/>
        <v>$mus</v>
      </c>
      <c r="U119" s="66" t="str">
        <f t="shared" si="31"/>
        <v>$coh</v>
      </c>
      <c r="V119" s="66" t="str">
        <f t="shared" si="32"/>
        <v>$Gc</v>
      </c>
      <c r="W119" s="66" t="str">
        <f t="shared" si="33"/>
        <v>$dropDrift</v>
      </c>
      <c r="X119" s="66" t="str">
        <f t="shared" si="34"/>
        <v>$muR</v>
      </c>
      <c r="Y119" s="66" t="str">
        <f t="shared" si="35"/>
        <v>-density</v>
      </c>
      <c r="Z119" s="66" t="str">
        <f t="shared" si="36"/>
        <v>$rho</v>
      </c>
      <c r="AA119" s="66" t="str">
        <f t="shared" si="37"/>
        <v>-pDelta</v>
      </c>
      <c r="AB119" s="66" t="str">
        <f t="shared" si="46"/>
        <v>-secantDamping</v>
      </c>
      <c r="AC119" s="66" t="str">
        <f t="shared" si="38"/>
        <v>-driftS</v>
      </c>
      <c r="AD119" s="66" t="str">
        <f t="shared" si="39"/>
        <v>$driftS</v>
      </c>
      <c r="AE119" s="66" t="str">
        <f t="shared" si="40"/>
        <v>0.8</v>
      </c>
      <c r="AF119" s="66" t="str">
        <f t="shared" si="41"/>
        <v>-driftF</v>
      </c>
      <c r="AG119" s="66" t="str">
        <f t="shared" si="42"/>
        <v>$driftF</v>
      </c>
      <c r="AH119" s="66" t="str">
        <f t="shared" si="43"/>
        <v>0.0</v>
      </c>
      <c r="AI119" s="66" t="str" cm="1">
        <f t="array" ref="AI119">TRIM(_xlfn.TEXTJOIN(CHAR(9),TRUE,B119:M119, TEXT(ROUND(N119:P119,3),"0.000"),Q119:AD119,TEXT(ROUND(AE119,1),"0.0"),AF119:AG119,TEXT(ROUND(AH119,1),"0.0")))</f>
        <v>element Macroelement3d	102	53	52	201	0	0	1	1	0	0	-pier	2.000	1.150	0.400	$Eelement	$Gs	$fc	$mus	$coh	$Gc	$dropDrift	$muR	-density	$rho	-pDelta	-secantDamping	-driftS	$driftS	0.8	-driftF	$driftF	0.0</v>
      </c>
      <c r="AT119">
        <f t="shared" si="47"/>
        <v>0.91999999999999993</v>
      </c>
    </row>
    <row r="120" spans="1:46" x14ac:dyDescent="0.3">
      <c r="A120" s="66" t="s">
        <v>21</v>
      </c>
      <c r="B120" s="66" t="s">
        <v>48</v>
      </c>
      <c r="C120" s="68">
        <v>103</v>
      </c>
      <c r="D120" s="68">
        <v>96</v>
      </c>
      <c r="E120" s="68">
        <v>93</v>
      </c>
      <c r="F120" s="68">
        <v>202</v>
      </c>
      <c r="G120" s="68">
        <v>0</v>
      </c>
      <c r="H120" s="68">
        <v>0</v>
      </c>
      <c r="I120" s="68">
        <v>1</v>
      </c>
      <c r="J120" s="68">
        <v>1</v>
      </c>
      <c r="K120" s="68">
        <v>0</v>
      </c>
      <c r="L120" s="68">
        <v>0</v>
      </c>
      <c r="M120" s="66" t="str">
        <f t="shared" si="26"/>
        <v>-pier</v>
      </c>
      <c r="N120" s="69">
        <v>2</v>
      </c>
      <c r="O120" s="69">
        <v>3.9</v>
      </c>
      <c r="P120" s="69">
        <v>0.4</v>
      </c>
      <c r="Q120" s="66" t="str">
        <f t="shared" si="27"/>
        <v>$Eelement</v>
      </c>
      <c r="R120" s="66" t="str">
        <f t="shared" si="28"/>
        <v>$Gs</v>
      </c>
      <c r="S120" s="66" t="str">
        <f t="shared" si="29"/>
        <v>$fc</v>
      </c>
      <c r="T120" s="66" t="str">
        <f t="shared" si="30"/>
        <v>$mus</v>
      </c>
      <c r="U120" s="66" t="str">
        <f t="shared" si="31"/>
        <v>$coh</v>
      </c>
      <c r="V120" s="66" t="str">
        <f t="shared" si="32"/>
        <v>$Gc</v>
      </c>
      <c r="W120" s="66" t="str">
        <f t="shared" si="33"/>
        <v>$dropDrift</v>
      </c>
      <c r="X120" s="66" t="str">
        <f t="shared" si="34"/>
        <v>$muR</v>
      </c>
      <c r="Y120" s="66" t="str">
        <f t="shared" si="35"/>
        <v>-density</v>
      </c>
      <c r="Z120" s="66" t="str">
        <f t="shared" si="36"/>
        <v>$rho</v>
      </c>
      <c r="AA120" s="66" t="str">
        <f t="shared" si="37"/>
        <v>-pDelta</v>
      </c>
      <c r="AB120" s="66" t="str">
        <f t="shared" si="46"/>
        <v>-secantDamping</v>
      </c>
      <c r="AC120" s="66" t="str">
        <f t="shared" si="38"/>
        <v>-driftS</v>
      </c>
      <c r="AD120" s="66" t="str">
        <f t="shared" si="39"/>
        <v>$driftS</v>
      </c>
      <c r="AE120" s="66" t="str">
        <f t="shared" si="40"/>
        <v>0.8</v>
      </c>
      <c r="AF120" s="66" t="str">
        <f t="shared" si="41"/>
        <v>-driftF</v>
      </c>
      <c r="AG120" s="66" t="str">
        <f t="shared" si="42"/>
        <v>$driftF</v>
      </c>
      <c r="AH120" s="66" t="str">
        <f t="shared" si="43"/>
        <v>0.0</v>
      </c>
      <c r="AI120" s="66" t="str" cm="1">
        <f t="array" ref="AI120">TRIM(_xlfn.TEXTJOIN(CHAR(9),TRUE,B120:M120, TEXT(ROUND(N120:P120,3),"0.000"),Q120:AD120,TEXT(ROUND(AE120,1),"0.0"),AF120:AG120,TEXT(ROUND(AH120,1),"0.0")))</f>
        <v>element Macroelement3d	103	96	93	202	0	0	1	1	0	0	-pier	2.000	3.900	0.400	$Eelement	$Gs	$fc	$mus	$coh	$Gc	$dropDrift	$muR	-density	$rho	-pDelta	-secantDamping	-driftS	$driftS	0.8	-driftF	$driftF	0.0</v>
      </c>
      <c r="AT120">
        <f t="shared" si="47"/>
        <v>3.12</v>
      </c>
    </row>
    <row r="121" spans="1:46" x14ac:dyDescent="0.3">
      <c r="A121" s="66" t="s">
        <v>21</v>
      </c>
      <c r="B121" s="66" t="s">
        <v>48</v>
      </c>
      <c r="C121" s="68">
        <v>104</v>
      </c>
      <c r="D121" s="68">
        <v>82</v>
      </c>
      <c r="E121" s="68">
        <v>79</v>
      </c>
      <c r="F121" s="68">
        <v>203</v>
      </c>
      <c r="G121" s="68">
        <v>0</v>
      </c>
      <c r="H121" s="68">
        <v>0</v>
      </c>
      <c r="I121" s="68">
        <v>1</v>
      </c>
      <c r="J121" s="68">
        <v>1</v>
      </c>
      <c r="K121" s="68">
        <v>0</v>
      </c>
      <c r="L121" s="68">
        <v>0</v>
      </c>
      <c r="M121" s="66" t="str">
        <f t="shared" si="26"/>
        <v>-pier</v>
      </c>
      <c r="N121" s="69">
        <v>2</v>
      </c>
      <c r="O121" s="69">
        <v>2.23</v>
      </c>
      <c r="P121" s="69">
        <v>0.4</v>
      </c>
      <c r="Q121" s="66" t="str">
        <f t="shared" si="27"/>
        <v>$Eelement</v>
      </c>
      <c r="R121" s="66" t="str">
        <f t="shared" si="28"/>
        <v>$Gs</v>
      </c>
      <c r="S121" s="66" t="str">
        <f t="shared" si="29"/>
        <v>$fc</v>
      </c>
      <c r="T121" s="66" t="str">
        <f t="shared" si="30"/>
        <v>$mus</v>
      </c>
      <c r="U121" s="66" t="str">
        <f t="shared" si="31"/>
        <v>$coh</v>
      </c>
      <c r="V121" s="66" t="str">
        <f t="shared" si="32"/>
        <v>$Gc</v>
      </c>
      <c r="W121" s="66" t="str">
        <f t="shared" si="33"/>
        <v>$dropDrift</v>
      </c>
      <c r="X121" s="66" t="str">
        <f t="shared" si="34"/>
        <v>$muR</v>
      </c>
      <c r="Y121" s="66" t="str">
        <f t="shared" si="35"/>
        <v>-density</v>
      </c>
      <c r="Z121" s="66" t="str">
        <f t="shared" si="36"/>
        <v>$rho</v>
      </c>
      <c r="AA121" s="66" t="str">
        <f t="shared" si="37"/>
        <v>-pDelta</v>
      </c>
      <c r="AB121" s="66" t="str">
        <f t="shared" si="46"/>
        <v>-secantDamping</v>
      </c>
      <c r="AC121" s="66" t="str">
        <f t="shared" si="38"/>
        <v>-driftS</v>
      </c>
      <c r="AD121" s="66" t="str">
        <f t="shared" si="39"/>
        <v>$driftS</v>
      </c>
      <c r="AE121" s="66" t="str">
        <f t="shared" si="40"/>
        <v>0.8</v>
      </c>
      <c r="AF121" s="66" t="str">
        <f t="shared" si="41"/>
        <v>-driftF</v>
      </c>
      <c r="AG121" s="66" t="str">
        <f t="shared" si="42"/>
        <v>$driftF</v>
      </c>
      <c r="AH121" s="66" t="str">
        <f t="shared" si="43"/>
        <v>0.0</v>
      </c>
      <c r="AI121" s="66" t="str" cm="1">
        <f t="array" ref="AI121">TRIM(_xlfn.TEXTJOIN(CHAR(9),TRUE,B121:M121, TEXT(ROUND(N121:P121,3),"0.000"),Q121:AD121,TEXT(ROUND(AE121,1),"0.0"),AF121:AG121,TEXT(ROUND(AH121,1),"0.0")))</f>
        <v>element Macroelement3d	104	82	79	203	0	0	1	1	0	0	-pier	2.000	2.230	0.400	$Eelement	$Gs	$fc	$mus	$coh	$Gc	$dropDrift	$muR	-density	$rho	-pDelta	-secantDamping	-driftS	$driftS	0.8	-driftF	$driftF	0.0</v>
      </c>
      <c r="AT121">
        <f t="shared" si="47"/>
        <v>1.784</v>
      </c>
    </row>
    <row r="122" spans="1:46" x14ac:dyDescent="0.3">
      <c r="A122" s="66" t="s">
        <v>21</v>
      </c>
      <c r="B122" s="66" t="s">
        <v>48</v>
      </c>
      <c r="C122" s="68">
        <v>105</v>
      </c>
      <c r="D122" s="68">
        <v>64</v>
      </c>
      <c r="E122" s="68">
        <v>53</v>
      </c>
      <c r="F122" s="68">
        <v>204</v>
      </c>
      <c r="G122" s="68">
        <v>0</v>
      </c>
      <c r="H122" s="68">
        <v>1</v>
      </c>
      <c r="I122" s="68">
        <v>0</v>
      </c>
      <c r="J122" s="68">
        <v>1</v>
      </c>
      <c r="K122" s="68">
        <v>0</v>
      </c>
      <c r="L122" s="68">
        <v>0</v>
      </c>
      <c r="M122" s="66" t="str">
        <f t="shared" si="26"/>
        <v>-spandrel</v>
      </c>
      <c r="N122" s="69">
        <v>0.9</v>
      </c>
      <c r="O122" s="69">
        <v>0.95</v>
      </c>
      <c r="P122" s="69">
        <v>0.45</v>
      </c>
      <c r="Q122" s="66" t="str">
        <f t="shared" si="27"/>
        <v>$Eelement</v>
      </c>
      <c r="R122" s="66" t="str">
        <f t="shared" si="28"/>
        <v>$Gs</v>
      </c>
      <c r="S122" s="66" t="str">
        <f t="shared" si="29"/>
        <v>$fc</v>
      </c>
      <c r="T122" s="66" t="str">
        <f t="shared" si="30"/>
        <v>$mus</v>
      </c>
      <c r="U122" s="66" t="str">
        <f t="shared" si="31"/>
        <v>$coh</v>
      </c>
      <c r="V122" s="66" t="str">
        <f t="shared" si="32"/>
        <v>$Gc</v>
      </c>
      <c r="W122" s="66" t="str">
        <f t="shared" si="33"/>
        <v>$dropDrift</v>
      </c>
      <c r="X122" s="66" t="str">
        <f t="shared" si="34"/>
        <v>$muR</v>
      </c>
      <c r="Y122" s="66" t="str">
        <f t="shared" si="35"/>
        <v>-density</v>
      </c>
      <c r="Z122" s="66" t="str">
        <f t="shared" si="36"/>
        <v>$rho</v>
      </c>
      <c r="AA122" s="66" t="str">
        <f t="shared" si="37"/>
        <v>-pDelta</v>
      </c>
      <c r="AB122" s="66" t="str">
        <f t="shared" si="46"/>
        <v>-secantDamping</v>
      </c>
      <c r="AC122" s="66" t="str">
        <f t="shared" si="38"/>
        <v>-driftS</v>
      </c>
      <c r="AD122" s="66" t="str">
        <f t="shared" si="39"/>
        <v>$driftS</v>
      </c>
      <c r="AE122" s="66" t="str">
        <f t="shared" si="40"/>
        <v>0.8</v>
      </c>
      <c r="AF122" s="66" t="str">
        <f t="shared" si="41"/>
        <v>-driftF</v>
      </c>
      <c r="AG122" s="66" t="str">
        <f t="shared" si="42"/>
        <v>$driftF</v>
      </c>
      <c r="AH122" s="66" t="str">
        <f t="shared" si="43"/>
        <v>0.0</v>
      </c>
      <c r="AI122" s="66" t="str" cm="1">
        <f t="array" ref="AI122">TRIM(_xlfn.TEXTJOIN(CHAR(9),TRUE,B122:M122, TEXT(ROUND(N122:P122,3),"0.000"),Q122:AD122,TEXT(ROUND(AE122,1),"0.0"),AF122:AG122,TEXT(ROUND(AH122,1),"0.0")))</f>
        <v>element Macroelement3d	105	64	53	204	0	1	0	1	0	0	-spandrel	0.900	0.950	0.450	$Eelement	$Gs	$fc	$mus	$coh	$Gc	$dropDrift	$muR	-density	$rho	-pDelta	-secantDamping	-driftS	$driftS	0.8	-driftF	$driftF	0.0</v>
      </c>
      <c r="AT122">
        <f t="shared" si="47"/>
        <v>0.38474999999999998</v>
      </c>
    </row>
    <row r="123" spans="1:46" x14ac:dyDescent="0.3">
      <c r="A123" s="66" t="s">
        <v>21</v>
      </c>
      <c r="B123" s="66" t="s">
        <v>48</v>
      </c>
      <c r="C123" s="68">
        <v>106</v>
      </c>
      <c r="D123" s="68">
        <v>53</v>
      </c>
      <c r="E123" s="68">
        <v>96</v>
      </c>
      <c r="F123" s="68">
        <v>205</v>
      </c>
      <c r="G123" s="68">
        <v>0</v>
      </c>
      <c r="H123" s="68">
        <v>1</v>
      </c>
      <c r="I123" s="68">
        <v>0</v>
      </c>
      <c r="J123" s="68">
        <v>1</v>
      </c>
      <c r="K123" s="68">
        <v>0</v>
      </c>
      <c r="L123" s="68">
        <v>0</v>
      </c>
      <c r="M123" s="66" t="str">
        <f t="shared" si="26"/>
        <v>-spandrel</v>
      </c>
      <c r="N123" s="69">
        <v>1.35</v>
      </c>
      <c r="O123" s="69">
        <v>0.95</v>
      </c>
      <c r="P123" s="69">
        <v>0.45</v>
      </c>
      <c r="Q123" s="66" t="str">
        <f t="shared" si="27"/>
        <v>$Eelement</v>
      </c>
      <c r="R123" s="66" t="str">
        <f t="shared" si="28"/>
        <v>$Gs</v>
      </c>
      <c r="S123" s="66" t="str">
        <f t="shared" si="29"/>
        <v>$fc</v>
      </c>
      <c r="T123" s="66" t="str">
        <f t="shared" si="30"/>
        <v>$mus</v>
      </c>
      <c r="U123" s="66" t="str">
        <f t="shared" si="31"/>
        <v>$coh</v>
      </c>
      <c r="V123" s="66" t="str">
        <f t="shared" si="32"/>
        <v>$Gc</v>
      </c>
      <c r="W123" s="66" t="str">
        <f t="shared" si="33"/>
        <v>$dropDrift</v>
      </c>
      <c r="X123" s="66" t="str">
        <f t="shared" si="34"/>
        <v>$muR</v>
      </c>
      <c r="Y123" s="66" t="str">
        <f t="shared" si="35"/>
        <v>-density</v>
      </c>
      <c r="Z123" s="66" t="str">
        <f t="shared" si="36"/>
        <v>$rho</v>
      </c>
      <c r="AA123" s="66" t="str">
        <f t="shared" si="37"/>
        <v>-pDelta</v>
      </c>
      <c r="AB123" s="66" t="str">
        <f t="shared" si="46"/>
        <v>-secantDamping</v>
      </c>
      <c r="AC123" s="66" t="str">
        <f t="shared" si="38"/>
        <v>-driftS</v>
      </c>
      <c r="AD123" s="66" t="str">
        <f t="shared" si="39"/>
        <v>$driftS</v>
      </c>
      <c r="AE123" s="66" t="str">
        <f t="shared" si="40"/>
        <v>0.8</v>
      </c>
      <c r="AF123" s="66" t="str">
        <f t="shared" si="41"/>
        <v>-driftF</v>
      </c>
      <c r="AG123" s="66" t="str">
        <f t="shared" si="42"/>
        <v>$driftF</v>
      </c>
      <c r="AH123" s="66" t="str">
        <f t="shared" si="43"/>
        <v>0.0</v>
      </c>
      <c r="AI123" s="66" t="str" cm="1">
        <f t="array" ref="AI123">TRIM(_xlfn.TEXTJOIN(CHAR(9),TRUE,B123:M123, TEXT(ROUND(N123:P123,3),"0.000"),Q123:AD123,TEXT(ROUND(AE123,1),"0.0"),AF123:AG123,TEXT(ROUND(AH123,1),"0.0")))</f>
        <v>element Macroelement3d	106	53	96	205	0	1	0	1	0	0	-spandrel	1.350	0.950	0.450	$Eelement	$Gs	$fc	$mus	$coh	$Gc	$dropDrift	$muR	-density	$rho	-pDelta	-secantDamping	-driftS	$driftS	0.8	-driftF	$driftF	0.0</v>
      </c>
      <c r="AT123">
        <f t="shared" si="47"/>
        <v>0.577125</v>
      </c>
    </row>
    <row r="124" spans="1:46" x14ac:dyDescent="0.3">
      <c r="A124" s="66" t="s">
        <v>21</v>
      </c>
      <c r="B124" s="66" t="s">
        <v>48</v>
      </c>
      <c r="C124" s="68">
        <v>107</v>
      </c>
      <c r="D124" s="68">
        <v>96</v>
      </c>
      <c r="E124" s="68">
        <v>82</v>
      </c>
      <c r="F124" s="68">
        <v>206</v>
      </c>
      <c r="G124" s="68">
        <v>0</v>
      </c>
      <c r="H124" s="68">
        <v>1</v>
      </c>
      <c r="I124" s="68">
        <v>0</v>
      </c>
      <c r="J124" s="68">
        <v>1</v>
      </c>
      <c r="K124" s="68">
        <v>0</v>
      </c>
      <c r="L124" s="68">
        <v>0</v>
      </c>
      <c r="M124" s="66" t="str">
        <f t="shared" si="26"/>
        <v>-spandrel</v>
      </c>
      <c r="N124" s="69">
        <v>1.4</v>
      </c>
      <c r="O124" s="69">
        <v>0.95</v>
      </c>
      <c r="P124" s="69">
        <v>0.45</v>
      </c>
      <c r="Q124" s="66" t="str">
        <f t="shared" si="27"/>
        <v>$Eelement</v>
      </c>
      <c r="R124" s="66" t="str">
        <f t="shared" si="28"/>
        <v>$Gs</v>
      </c>
      <c r="S124" s="66" t="str">
        <f t="shared" si="29"/>
        <v>$fc</v>
      </c>
      <c r="T124" s="66" t="str">
        <f t="shared" si="30"/>
        <v>$mus</v>
      </c>
      <c r="U124" s="66" t="str">
        <f t="shared" si="31"/>
        <v>$coh</v>
      </c>
      <c r="V124" s="66" t="str">
        <f t="shared" si="32"/>
        <v>$Gc</v>
      </c>
      <c r="W124" s="66" t="str">
        <f t="shared" si="33"/>
        <v>$dropDrift</v>
      </c>
      <c r="X124" s="66" t="str">
        <f t="shared" si="34"/>
        <v>$muR</v>
      </c>
      <c r="Y124" s="66" t="str">
        <f t="shared" si="35"/>
        <v>-density</v>
      </c>
      <c r="Z124" s="66" t="str">
        <f t="shared" si="36"/>
        <v>$rho</v>
      </c>
      <c r="AA124" s="66" t="str">
        <f t="shared" si="37"/>
        <v>-pDelta</v>
      </c>
      <c r="AB124" s="66" t="str">
        <f t="shared" si="46"/>
        <v>-secantDamping</v>
      </c>
      <c r="AC124" s="66" t="str">
        <f t="shared" si="38"/>
        <v>-driftS</v>
      </c>
      <c r="AD124" s="66" t="str">
        <f t="shared" si="39"/>
        <v>$driftS</v>
      </c>
      <c r="AE124" s="66" t="str">
        <f t="shared" si="40"/>
        <v>0.8</v>
      </c>
      <c r="AF124" s="66" t="str">
        <f t="shared" si="41"/>
        <v>-driftF</v>
      </c>
      <c r="AG124" s="66" t="str">
        <f t="shared" si="42"/>
        <v>$driftF</v>
      </c>
      <c r="AH124" s="66" t="str">
        <f t="shared" si="43"/>
        <v>0.0</v>
      </c>
      <c r="AI124" s="66" t="str" cm="1">
        <f t="array" ref="AI124">TRIM(_xlfn.TEXTJOIN(CHAR(9),TRUE,B124:M124, TEXT(ROUND(N124:P124,3),"0.000"),Q124:AD124,TEXT(ROUND(AE124,1),"0.0"),AF124:AG124,TEXT(ROUND(AH124,1),"0.0")))</f>
        <v>element Macroelement3d	107	96	82	206	0	1	0	1	0	0	-spandrel	1.400	0.950	0.450	$Eelement	$Gs	$fc	$mus	$coh	$Gc	$dropDrift	$muR	-density	$rho	-pDelta	-secantDamping	-driftS	$driftS	0.8	-driftF	$driftF	0.0</v>
      </c>
      <c r="AT124">
        <f t="shared" si="47"/>
        <v>0.59849999999999992</v>
      </c>
    </row>
    <row r="125" spans="1:46" x14ac:dyDescent="0.3">
      <c r="A125" s="66" t="s">
        <v>21</v>
      </c>
      <c r="B125" s="66" t="s">
        <v>48</v>
      </c>
      <c r="C125" s="68">
        <v>108</v>
      </c>
      <c r="D125" s="68">
        <v>68</v>
      </c>
      <c r="E125" s="68">
        <v>64</v>
      </c>
      <c r="F125" s="68">
        <v>207</v>
      </c>
      <c r="G125" s="68">
        <v>0</v>
      </c>
      <c r="H125" s="68">
        <v>0</v>
      </c>
      <c r="I125" s="68">
        <v>1</v>
      </c>
      <c r="J125" s="68">
        <v>1</v>
      </c>
      <c r="K125" s="68">
        <v>0</v>
      </c>
      <c r="L125" s="68">
        <v>0</v>
      </c>
      <c r="M125" s="66" t="str">
        <f t="shared" si="26"/>
        <v>-pier</v>
      </c>
      <c r="N125" s="69">
        <v>2</v>
      </c>
      <c r="O125" s="69">
        <v>0.43</v>
      </c>
      <c r="P125" s="69">
        <v>0.5</v>
      </c>
      <c r="Q125" s="66" t="str">
        <f t="shared" si="27"/>
        <v>$Eelement</v>
      </c>
      <c r="R125" s="66" t="str">
        <f t="shared" si="28"/>
        <v>$Gs</v>
      </c>
      <c r="S125" s="66" t="str">
        <f t="shared" si="29"/>
        <v>$fc</v>
      </c>
      <c r="T125" s="66" t="str">
        <f t="shared" si="30"/>
        <v>$mus</v>
      </c>
      <c r="U125" s="66" t="str">
        <f t="shared" si="31"/>
        <v>$coh</v>
      </c>
      <c r="V125" s="66" t="str">
        <f t="shared" si="32"/>
        <v>$Gc</v>
      </c>
      <c r="W125" s="66" t="str">
        <f t="shared" si="33"/>
        <v>$dropDrift</v>
      </c>
      <c r="X125" s="66" t="str">
        <f t="shared" si="34"/>
        <v>$muR</v>
      </c>
      <c r="Y125" s="66" t="str">
        <f t="shared" si="35"/>
        <v>-density</v>
      </c>
      <c r="Z125" s="66" t="str">
        <f t="shared" si="36"/>
        <v>$rho</v>
      </c>
      <c r="AA125" s="66" t="str">
        <f t="shared" si="37"/>
        <v>-pDelta</v>
      </c>
      <c r="AB125" s="66" t="str">
        <f t="shared" si="46"/>
        <v>-secantDamping</v>
      </c>
      <c r="AC125" s="66" t="str">
        <f t="shared" si="38"/>
        <v>-driftS</v>
      </c>
      <c r="AD125" s="66" t="str">
        <f t="shared" si="39"/>
        <v>$driftS</v>
      </c>
      <c r="AE125" s="66" t="str">
        <f t="shared" si="40"/>
        <v>0.8</v>
      </c>
      <c r="AF125" s="66" t="str">
        <f t="shared" si="41"/>
        <v>-driftF</v>
      </c>
      <c r="AG125" s="66" t="str">
        <f t="shared" si="42"/>
        <v>$driftF</v>
      </c>
      <c r="AH125" s="66" t="str">
        <f t="shared" si="43"/>
        <v>0.0</v>
      </c>
      <c r="AI125" s="66" t="str" cm="1">
        <f t="array" ref="AI125">TRIM(_xlfn.TEXTJOIN(CHAR(9),TRUE,B125:M125, TEXT(ROUND(N125:P125,3),"0.000"),Q125:AD125,TEXT(ROUND(AE125,1),"0.0"),AF125:AG125,TEXT(ROUND(AH125,1),"0.0")))</f>
        <v>element Macroelement3d	108	68	64	207	0	0	1	1	0	0	-pier	2.000	0.430	0.500	$Eelement	$Gs	$fc	$mus	$coh	$Gc	$dropDrift	$muR	-density	$rho	-pDelta	-secantDamping	-driftS	$driftS	0.8	-driftF	$driftF	0.0</v>
      </c>
      <c r="AT125">
        <f t="shared" si="47"/>
        <v>0.43</v>
      </c>
    </row>
    <row r="126" spans="1:46" x14ac:dyDescent="0.3">
      <c r="A126" s="66" t="s">
        <v>21</v>
      </c>
      <c r="B126" s="66" t="s">
        <v>48</v>
      </c>
      <c r="C126" s="68">
        <v>109</v>
      </c>
      <c r="D126" s="68">
        <v>54</v>
      </c>
      <c r="E126" s="68">
        <v>53</v>
      </c>
      <c r="F126" s="68">
        <v>208</v>
      </c>
      <c r="G126" s="68">
        <v>0</v>
      </c>
      <c r="H126" s="68">
        <v>0</v>
      </c>
      <c r="I126" s="68">
        <v>1</v>
      </c>
      <c r="J126" s="68">
        <v>1</v>
      </c>
      <c r="K126" s="68">
        <v>0</v>
      </c>
      <c r="L126" s="68">
        <v>0</v>
      </c>
      <c r="M126" s="66" t="str">
        <f t="shared" si="26"/>
        <v>-pier</v>
      </c>
      <c r="N126" s="69">
        <v>2</v>
      </c>
      <c r="O126" s="69">
        <v>1.1499999999999999</v>
      </c>
      <c r="P126" s="69">
        <v>0.5</v>
      </c>
      <c r="Q126" s="66" t="str">
        <f t="shared" si="27"/>
        <v>$Eelement</v>
      </c>
      <c r="R126" s="66" t="str">
        <f t="shared" si="28"/>
        <v>$Gs</v>
      </c>
      <c r="S126" s="66" t="str">
        <f t="shared" si="29"/>
        <v>$fc</v>
      </c>
      <c r="T126" s="66" t="str">
        <f t="shared" si="30"/>
        <v>$mus</v>
      </c>
      <c r="U126" s="66" t="str">
        <f t="shared" si="31"/>
        <v>$coh</v>
      </c>
      <c r="V126" s="66" t="str">
        <f t="shared" si="32"/>
        <v>$Gc</v>
      </c>
      <c r="W126" s="66" t="str">
        <f t="shared" si="33"/>
        <v>$dropDrift</v>
      </c>
      <c r="X126" s="66" t="str">
        <f t="shared" si="34"/>
        <v>$muR</v>
      </c>
      <c r="Y126" s="66" t="str">
        <f t="shared" si="35"/>
        <v>-density</v>
      </c>
      <c r="Z126" s="66" t="str">
        <f t="shared" si="36"/>
        <v>$rho</v>
      </c>
      <c r="AA126" s="66" t="str">
        <f t="shared" si="37"/>
        <v>-pDelta</v>
      </c>
      <c r="AB126" s="66" t="str">
        <f t="shared" si="46"/>
        <v>-secantDamping</v>
      </c>
      <c r="AC126" s="66" t="str">
        <f t="shared" si="38"/>
        <v>-driftS</v>
      </c>
      <c r="AD126" s="66" t="str">
        <f t="shared" si="39"/>
        <v>$driftS</v>
      </c>
      <c r="AE126" s="66" t="str">
        <f t="shared" si="40"/>
        <v>0.8</v>
      </c>
      <c r="AF126" s="66" t="str">
        <f t="shared" si="41"/>
        <v>-driftF</v>
      </c>
      <c r="AG126" s="66" t="str">
        <f t="shared" si="42"/>
        <v>$driftF</v>
      </c>
      <c r="AH126" s="66" t="str">
        <f t="shared" si="43"/>
        <v>0.0</v>
      </c>
      <c r="AI126" s="66" t="str" cm="1">
        <f t="array" ref="AI126">TRIM(_xlfn.TEXTJOIN(CHAR(9),TRUE,B126:M126, TEXT(ROUND(N126:P126,3),"0.000"),Q126:AD126,TEXT(ROUND(AE126,1),"0.0"),AF126:AG126,TEXT(ROUND(AH126,1),"0.0")))</f>
        <v>element Macroelement3d	109	54	53	208	0	0	1	1	0	0	-pier	2.000	1.150	0.500	$Eelement	$Gs	$fc	$mus	$coh	$Gc	$dropDrift	$muR	-density	$rho	-pDelta	-secantDamping	-driftS	$driftS	0.8	-driftF	$driftF	0.0</v>
      </c>
      <c r="AT126">
        <f t="shared" si="47"/>
        <v>1.1499999999999999</v>
      </c>
    </row>
    <row r="127" spans="1:46" x14ac:dyDescent="0.3">
      <c r="A127" s="66" t="s">
        <v>21</v>
      </c>
      <c r="B127" s="66" t="s">
        <v>48</v>
      </c>
      <c r="C127" s="68">
        <v>110</v>
      </c>
      <c r="D127" s="68">
        <v>99</v>
      </c>
      <c r="E127" s="68">
        <v>96</v>
      </c>
      <c r="F127" s="68">
        <v>209</v>
      </c>
      <c r="G127" s="68">
        <v>0</v>
      </c>
      <c r="H127" s="68">
        <v>0</v>
      </c>
      <c r="I127" s="68">
        <v>1</v>
      </c>
      <c r="J127" s="68">
        <v>1</v>
      </c>
      <c r="K127" s="68">
        <v>0</v>
      </c>
      <c r="L127" s="68">
        <v>0</v>
      </c>
      <c r="M127" s="66" t="str">
        <f t="shared" si="26"/>
        <v>-pier</v>
      </c>
      <c r="N127" s="69">
        <v>2</v>
      </c>
      <c r="O127" s="69">
        <v>3.9</v>
      </c>
      <c r="P127" s="69">
        <v>0.5</v>
      </c>
      <c r="Q127" s="66" t="str">
        <f t="shared" si="27"/>
        <v>$Eelement</v>
      </c>
      <c r="R127" s="66" t="str">
        <f t="shared" si="28"/>
        <v>$Gs</v>
      </c>
      <c r="S127" s="66" t="str">
        <f t="shared" si="29"/>
        <v>$fc</v>
      </c>
      <c r="T127" s="66" t="str">
        <f t="shared" si="30"/>
        <v>$mus</v>
      </c>
      <c r="U127" s="66" t="str">
        <f t="shared" si="31"/>
        <v>$coh</v>
      </c>
      <c r="V127" s="66" t="str">
        <f t="shared" si="32"/>
        <v>$Gc</v>
      </c>
      <c r="W127" s="66" t="str">
        <f t="shared" si="33"/>
        <v>$dropDrift</v>
      </c>
      <c r="X127" s="66" t="str">
        <f t="shared" si="34"/>
        <v>$muR</v>
      </c>
      <c r="Y127" s="66" t="str">
        <f t="shared" si="35"/>
        <v>-density</v>
      </c>
      <c r="Z127" s="66" t="str">
        <f t="shared" si="36"/>
        <v>$rho</v>
      </c>
      <c r="AA127" s="66" t="str">
        <f t="shared" si="37"/>
        <v>-pDelta</v>
      </c>
      <c r="AB127" s="66" t="str">
        <f t="shared" si="46"/>
        <v>-secantDamping</v>
      </c>
      <c r="AC127" s="66" t="str">
        <f t="shared" si="38"/>
        <v>-driftS</v>
      </c>
      <c r="AD127" s="66" t="str">
        <f t="shared" si="39"/>
        <v>$driftS</v>
      </c>
      <c r="AE127" s="66" t="str">
        <f t="shared" si="40"/>
        <v>0.8</v>
      </c>
      <c r="AF127" s="66" t="str">
        <f t="shared" si="41"/>
        <v>-driftF</v>
      </c>
      <c r="AG127" s="66" t="str">
        <f t="shared" si="42"/>
        <v>$driftF</v>
      </c>
      <c r="AH127" s="66" t="str">
        <f t="shared" si="43"/>
        <v>0.0</v>
      </c>
      <c r="AI127" s="66" t="str" cm="1">
        <f t="array" ref="AI127">TRIM(_xlfn.TEXTJOIN(CHAR(9),TRUE,B127:M127, TEXT(ROUND(N127:P127,3),"0.000"),Q127:AD127,TEXT(ROUND(AE127,1),"0.0"),AF127:AG127,TEXT(ROUND(AH127,1),"0.0")))</f>
        <v>element Macroelement3d	110	99	96	209	0	0	1	1	0	0	-pier	2.000	3.900	0.500	$Eelement	$Gs	$fc	$mus	$coh	$Gc	$dropDrift	$muR	-density	$rho	-pDelta	-secantDamping	-driftS	$driftS	0.8	-driftF	$driftF	0.0</v>
      </c>
      <c r="AT127">
        <f t="shared" si="47"/>
        <v>3.9</v>
      </c>
    </row>
    <row r="128" spans="1:46" x14ac:dyDescent="0.3">
      <c r="A128" s="66" t="s">
        <v>21</v>
      </c>
      <c r="B128" s="66" t="s">
        <v>48</v>
      </c>
      <c r="C128" s="68">
        <v>111</v>
      </c>
      <c r="D128" s="68">
        <v>85</v>
      </c>
      <c r="E128" s="68">
        <v>82</v>
      </c>
      <c r="F128" s="68">
        <v>210</v>
      </c>
      <c r="G128" s="68">
        <v>0</v>
      </c>
      <c r="H128" s="68">
        <v>0</v>
      </c>
      <c r="I128" s="68">
        <v>1</v>
      </c>
      <c r="J128" s="68">
        <v>1</v>
      </c>
      <c r="K128" s="68">
        <v>0</v>
      </c>
      <c r="L128" s="68">
        <v>0</v>
      </c>
      <c r="M128" s="66" t="str">
        <f t="shared" si="26"/>
        <v>-pier</v>
      </c>
      <c r="N128" s="69">
        <v>2</v>
      </c>
      <c r="O128" s="69">
        <v>2.23</v>
      </c>
      <c r="P128" s="69">
        <v>0.5</v>
      </c>
      <c r="Q128" s="66" t="str">
        <f t="shared" si="27"/>
        <v>$Eelement</v>
      </c>
      <c r="R128" s="66" t="str">
        <f t="shared" si="28"/>
        <v>$Gs</v>
      </c>
      <c r="S128" s="66" t="str">
        <f t="shared" si="29"/>
        <v>$fc</v>
      </c>
      <c r="T128" s="66" t="str">
        <f t="shared" si="30"/>
        <v>$mus</v>
      </c>
      <c r="U128" s="66" t="str">
        <f t="shared" si="31"/>
        <v>$coh</v>
      </c>
      <c r="V128" s="66" t="str">
        <f t="shared" si="32"/>
        <v>$Gc</v>
      </c>
      <c r="W128" s="66" t="str">
        <f t="shared" si="33"/>
        <v>$dropDrift</v>
      </c>
      <c r="X128" s="66" t="str">
        <f t="shared" si="34"/>
        <v>$muR</v>
      </c>
      <c r="Y128" s="66" t="str">
        <f t="shared" si="35"/>
        <v>-density</v>
      </c>
      <c r="Z128" s="66" t="str">
        <f t="shared" si="36"/>
        <v>$rho</v>
      </c>
      <c r="AA128" s="66" t="str">
        <f t="shared" si="37"/>
        <v>-pDelta</v>
      </c>
      <c r="AB128" s="66" t="str">
        <f t="shared" si="46"/>
        <v>-secantDamping</v>
      </c>
      <c r="AC128" s="66" t="str">
        <f t="shared" si="38"/>
        <v>-driftS</v>
      </c>
      <c r="AD128" s="66" t="str">
        <f t="shared" si="39"/>
        <v>$driftS</v>
      </c>
      <c r="AE128" s="66" t="str">
        <f t="shared" si="40"/>
        <v>0.8</v>
      </c>
      <c r="AF128" s="66" t="str">
        <f t="shared" si="41"/>
        <v>-driftF</v>
      </c>
      <c r="AG128" s="66" t="str">
        <f t="shared" si="42"/>
        <v>$driftF</v>
      </c>
      <c r="AH128" s="66" t="str">
        <f t="shared" si="43"/>
        <v>0.0</v>
      </c>
      <c r="AI128" s="66" t="str" cm="1">
        <f t="array" ref="AI128">TRIM(_xlfn.TEXTJOIN(CHAR(9),TRUE,B128:M128, TEXT(ROUND(N128:P128,3),"0.000"),Q128:AD128,TEXT(ROUND(AE128,1),"0.0"),AF128:AG128,TEXT(ROUND(AH128,1),"0.0")))</f>
        <v>element Macroelement3d	111	85	82	210	0	0	1	1	0	0	-pier	2.000	2.230	0.500	$Eelement	$Gs	$fc	$mus	$coh	$Gc	$dropDrift	$muR	-density	$rho	-pDelta	-secantDamping	-driftS	$driftS	0.8	-driftF	$driftF	0.0</v>
      </c>
      <c r="AT128">
        <f t="shared" si="47"/>
        <v>2.23</v>
      </c>
    </row>
    <row r="129" spans="1:46" x14ac:dyDescent="0.3"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N129" s="2"/>
      <c r="O129" s="2"/>
      <c r="P129" s="2"/>
      <c r="Q129" t="str">
        <f t="shared" si="27"/>
        <v/>
      </c>
      <c r="R129" t="str">
        <f t="shared" si="28"/>
        <v/>
      </c>
      <c r="S129" t="str">
        <f t="shared" si="29"/>
        <v/>
      </c>
      <c r="T129" t="str">
        <f t="shared" si="30"/>
        <v/>
      </c>
      <c r="U129" t="str">
        <f t="shared" si="31"/>
        <v/>
      </c>
      <c r="V129" t="str">
        <f t="shared" si="32"/>
        <v/>
      </c>
      <c r="W129" t="str">
        <f t="shared" si="33"/>
        <v/>
      </c>
      <c r="X129" t="str">
        <f t="shared" si="34"/>
        <v/>
      </c>
      <c r="Y129" t="str">
        <f t="shared" si="35"/>
        <v/>
      </c>
      <c r="Z129" t="str">
        <f t="shared" si="36"/>
        <v/>
      </c>
      <c r="AA129" t="str">
        <f t="shared" si="37"/>
        <v/>
      </c>
      <c r="AB129" t="str">
        <f t="shared" si="46"/>
        <v/>
      </c>
      <c r="AC129" t="str">
        <f t="shared" si="38"/>
        <v/>
      </c>
      <c r="AD129" t="str">
        <f t="shared" si="39"/>
        <v/>
      </c>
      <c r="AE129" t="str">
        <f t="shared" si="40"/>
        <v/>
      </c>
      <c r="AF129" t="str">
        <f t="shared" si="41"/>
        <v/>
      </c>
      <c r="AG129" t="str">
        <f t="shared" si="42"/>
        <v/>
      </c>
      <c r="AH129" t="str">
        <f t="shared" si="43"/>
        <v/>
      </c>
      <c r="AT129" t="str">
        <f t="shared" si="47"/>
        <v/>
      </c>
    </row>
    <row r="130" spans="1:46" s="38" customFormat="1" x14ac:dyDescent="0.3">
      <c r="A130" s="138" t="s">
        <v>45</v>
      </c>
      <c r="B130" s="138" t="s">
        <v>9</v>
      </c>
      <c r="C130" s="139"/>
      <c r="Q130" s="38" t="str">
        <f t="shared" si="27"/>
        <v/>
      </c>
      <c r="R130" s="38" t="str">
        <f t="shared" si="28"/>
        <v/>
      </c>
      <c r="S130" s="38" t="str">
        <f t="shared" si="29"/>
        <v/>
      </c>
      <c r="T130" s="38" t="str">
        <f t="shared" si="30"/>
        <v/>
      </c>
      <c r="U130" s="38" t="str">
        <f t="shared" si="31"/>
        <v/>
      </c>
      <c r="V130" s="38" t="str">
        <f t="shared" si="32"/>
        <v/>
      </c>
      <c r="W130" s="38" t="str">
        <f t="shared" si="33"/>
        <v/>
      </c>
      <c r="X130" s="38" t="str">
        <f t="shared" si="34"/>
        <v/>
      </c>
      <c r="Y130" s="38" t="str">
        <f t="shared" si="35"/>
        <v/>
      </c>
      <c r="Z130" s="38" t="str">
        <f t="shared" si="36"/>
        <v/>
      </c>
      <c r="AA130" s="38" t="str">
        <f t="shared" si="37"/>
        <v/>
      </c>
      <c r="AB130" s="38" t="str">
        <f t="shared" si="46"/>
        <v/>
      </c>
      <c r="AC130" s="38" t="str">
        <f t="shared" si="38"/>
        <v/>
      </c>
      <c r="AD130" s="38" t="str">
        <f t="shared" si="39"/>
        <v/>
      </c>
      <c r="AE130" s="38" t="str">
        <f t="shared" si="40"/>
        <v/>
      </c>
      <c r="AF130" s="38" t="str">
        <f t="shared" si="41"/>
        <v/>
      </c>
      <c r="AG130" s="38" t="str">
        <f t="shared" si="42"/>
        <v/>
      </c>
      <c r="AH130" s="38" t="str">
        <f t="shared" si="43"/>
        <v/>
      </c>
      <c r="AI130" s="38" t="str">
        <f>TRIM(_xlfn.TEXTJOIN(CHAR(9),TRUE,B130:AA130))</f>
        <v>#Wall 8</v>
      </c>
      <c r="AT130" s="38" t="str">
        <f t="shared" si="47"/>
        <v/>
      </c>
    </row>
    <row r="131" spans="1:46" x14ac:dyDescent="0.3">
      <c r="A131" s="66" t="s">
        <v>21</v>
      </c>
      <c r="B131" s="66" t="s">
        <v>48</v>
      </c>
      <c r="C131" s="68">
        <v>112</v>
      </c>
      <c r="D131" s="68">
        <v>100</v>
      </c>
      <c r="E131" s="68">
        <v>70</v>
      </c>
      <c r="F131" s="68">
        <v>211</v>
      </c>
      <c r="G131" s="68">
        <v>1</v>
      </c>
      <c r="H131" s="68">
        <v>0</v>
      </c>
      <c r="I131" s="68">
        <v>0</v>
      </c>
      <c r="J131" s="68">
        <v>0</v>
      </c>
      <c r="K131" s="68">
        <v>-1</v>
      </c>
      <c r="L131" s="68">
        <v>0</v>
      </c>
      <c r="M131" s="66" t="str">
        <f t="shared" si="26"/>
        <v>-spandrel</v>
      </c>
      <c r="N131" s="69">
        <v>1</v>
      </c>
      <c r="O131" s="69">
        <v>1.1499999999999999</v>
      </c>
      <c r="P131" s="69">
        <v>0.4</v>
      </c>
      <c r="Q131" s="66" t="str">
        <f t="shared" si="27"/>
        <v>$Eelement</v>
      </c>
      <c r="R131" s="66" t="str">
        <f t="shared" si="28"/>
        <v>$Gs</v>
      </c>
      <c r="S131" s="66" t="str">
        <f t="shared" si="29"/>
        <v>$fc</v>
      </c>
      <c r="T131" s="66" t="str">
        <f t="shared" si="30"/>
        <v>$mus</v>
      </c>
      <c r="U131" s="66" t="str">
        <f t="shared" si="31"/>
        <v>$coh</v>
      </c>
      <c r="V131" s="66" t="str">
        <f t="shared" si="32"/>
        <v>$Gc</v>
      </c>
      <c r="W131" s="66" t="str">
        <f t="shared" si="33"/>
        <v>$dropDrift</v>
      </c>
      <c r="X131" s="66" t="str">
        <f t="shared" si="34"/>
        <v>$muR</v>
      </c>
      <c r="Y131" s="66" t="str">
        <f t="shared" si="35"/>
        <v>-density</v>
      </c>
      <c r="Z131" s="66" t="str">
        <f t="shared" si="36"/>
        <v>$rho</v>
      </c>
      <c r="AA131" s="66" t="str">
        <f t="shared" si="37"/>
        <v>-pDelta</v>
      </c>
      <c r="AB131" s="66" t="str">
        <f t="shared" si="46"/>
        <v>-secantDamping</v>
      </c>
      <c r="AC131" s="66" t="str">
        <f t="shared" si="38"/>
        <v>-driftS</v>
      </c>
      <c r="AD131" s="66" t="str">
        <f t="shared" si="39"/>
        <v>$driftS</v>
      </c>
      <c r="AE131" s="66" t="str">
        <f t="shared" si="40"/>
        <v>0.8</v>
      </c>
      <c r="AF131" s="66" t="str">
        <f t="shared" si="41"/>
        <v>-driftF</v>
      </c>
      <c r="AG131" s="66" t="str">
        <f t="shared" si="42"/>
        <v>$driftF</v>
      </c>
      <c r="AH131" s="66" t="str">
        <f t="shared" si="43"/>
        <v>0.0</v>
      </c>
      <c r="AI131" s="66" t="str" cm="1">
        <f t="array" ref="AI131">TRIM(_xlfn.TEXTJOIN(CHAR(9),TRUE,B131:M131, TEXT(ROUND(N131:P131,3),"0.000"),Q131:AD131,TEXT(ROUND(AE131,1),"0.0"),AF131:AG131,TEXT(ROUND(AH131,1),"0.0")))</f>
        <v>element Macroelement3d	112	100	70	211	1	0	0	0	-1	0	-spandrel	1.000	1.150	0.400	$Eelement	$Gs	$fc	$mus	$coh	$Gc	$dropDrift	$muR	-density	$rho	-pDelta	-secantDamping	-driftS	$driftS	0.8	-driftF	$driftF	0.0</v>
      </c>
      <c r="AT131">
        <f t="shared" si="47"/>
        <v>0.45999999999999996</v>
      </c>
    </row>
    <row r="132" spans="1:46" x14ac:dyDescent="0.3">
      <c r="A132" s="66" t="s">
        <v>21</v>
      </c>
      <c r="B132" s="66" t="s">
        <v>48</v>
      </c>
      <c r="C132" s="68">
        <v>113</v>
      </c>
      <c r="D132" s="68">
        <v>101</v>
      </c>
      <c r="E132" s="68">
        <v>100</v>
      </c>
      <c r="F132" s="68">
        <v>212</v>
      </c>
      <c r="G132" s="68">
        <v>0</v>
      </c>
      <c r="H132" s="68">
        <v>0</v>
      </c>
      <c r="I132" s="68">
        <v>1</v>
      </c>
      <c r="J132" s="68">
        <v>0</v>
      </c>
      <c r="K132" s="68">
        <v>-1</v>
      </c>
      <c r="L132" s="68">
        <v>0</v>
      </c>
      <c r="M132" s="66" t="str">
        <f t="shared" si="26"/>
        <v>-pier</v>
      </c>
      <c r="N132" s="69">
        <v>2</v>
      </c>
      <c r="O132" s="69">
        <v>0.7</v>
      </c>
      <c r="P132" s="69">
        <v>0.4</v>
      </c>
      <c r="Q132" s="66" t="str">
        <f t="shared" si="27"/>
        <v>$Eelement</v>
      </c>
      <c r="R132" s="66" t="str">
        <f t="shared" si="28"/>
        <v>$Gs</v>
      </c>
      <c r="S132" s="66" t="str">
        <f t="shared" si="29"/>
        <v>$fc</v>
      </c>
      <c r="T132" s="66" t="str">
        <f t="shared" si="30"/>
        <v>$mus</v>
      </c>
      <c r="U132" s="66" t="str">
        <f t="shared" si="31"/>
        <v>$coh</v>
      </c>
      <c r="V132" s="66" t="str">
        <f t="shared" si="32"/>
        <v>$Gc</v>
      </c>
      <c r="W132" s="66" t="str">
        <f t="shared" si="33"/>
        <v>$dropDrift</v>
      </c>
      <c r="X132" s="66" t="str">
        <f t="shared" si="34"/>
        <v>$muR</v>
      </c>
      <c r="Y132" s="66" t="str">
        <f t="shared" si="35"/>
        <v>-density</v>
      </c>
      <c r="Z132" s="66" t="str">
        <f t="shared" si="36"/>
        <v>$rho</v>
      </c>
      <c r="AA132" s="66" t="str">
        <f t="shared" si="37"/>
        <v>-pDelta</v>
      </c>
      <c r="AB132" s="66" t="str">
        <f t="shared" si="46"/>
        <v>-secantDamping</v>
      </c>
      <c r="AC132" s="66" t="str">
        <f t="shared" si="38"/>
        <v>-driftS</v>
      </c>
      <c r="AD132" s="66" t="str">
        <f t="shared" si="39"/>
        <v>$driftS</v>
      </c>
      <c r="AE132" s="66" t="str">
        <f t="shared" si="40"/>
        <v>0.8</v>
      </c>
      <c r="AF132" s="66" t="str">
        <f t="shared" si="41"/>
        <v>-driftF</v>
      </c>
      <c r="AG132" s="66" t="str">
        <f t="shared" si="42"/>
        <v>$driftF</v>
      </c>
      <c r="AH132" s="66" t="str">
        <f t="shared" si="43"/>
        <v>0.0</v>
      </c>
      <c r="AI132" s="66" t="str" cm="1">
        <f t="array" ref="AI132">TRIM(_xlfn.TEXTJOIN(CHAR(9),TRUE,B132:M132, TEXT(ROUND(N132:P132,3),"0.000"),Q132:AD132,TEXT(ROUND(AE132,1),"0.0"),AF132:AG132,TEXT(ROUND(AH132,1),"0.0")))</f>
        <v>element Macroelement3d	113	101	100	212	0	0	1	0	-1	0	-pier	2.000	0.700	0.400	$Eelement	$Gs	$fc	$mus	$coh	$Gc	$dropDrift	$muR	-density	$rho	-pDelta	-secantDamping	-driftS	$driftS	0.8	-driftF	$driftF	0.0</v>
      </c>
      <c r="AT132">
        <f t="shared" si="47"/>
        <v>0.55999999999999994</v>
      </c>
    </row>
    <row r="133" spans="1:46" x14ac:dyDescent="0.3">
      <c r="A133" s="66" t="s">
        <v>21</v>
      </c>
      <c r="B133" s="66" t="s">
        <v>48</v>
      </c>
      <c r="C133" s="68">
        <v>114</v>
      </c>
      <c r="D133" s="68">
        <v>73</v>
      </c>
      <c r="E133" s="68">
        <v>70</v>
      </c>
      <c r="F133" s="68">
        <v>213</v>
      </c>
      <c r="G133" s="68">
        <v>0</v>
      </c>
      <c r="H133" s="68">
        <v>0</v>
      </c>
      <c r="I133" s="68">
        <v>1</v>
      </c>
      <c r="J133" s="68">
        <v>0</v>
      </c>
      <c r="K133" s="68">
        <v>-1</v>
      </c>
      <c r="L133" s="68">
        <v>0</v>
      </c>
      <c r="M133" s="66" t="str">
        <f t="shared" si="26"/>
        <v>-pier</v>
      </c>
      <c r="N133" s="69">
        <v>2</v>
      </c>
      <c r="O133" s="69">
        <v>3.48</v>
      </c>
      <c r="P133" s="69">
        <v>0.4</v>
      </c>
      <c r="Q133" s="66" t="str">
        <f t="shared" si="27"/>
        <v>$Eelement</v>
      </c>
      <c r="R133" s="66" t="str">
        <f t="shared" si="28"/>
        <v>$Gs</v>
      </c>
      <c r="S133" s="66" t="str">
        <f t="shared" si="29"/>
        <v>$fc</v>
      </c>
      <c r="T133" s="66" t="str">
        <f t="shared" si="30"/>
        <v>$mus</v>
      </c>
      <c r="U133" s="66" t="str">
        <f t="shared" si="31"/>
        <v>$coh</v>
      </c>
      <c r="V133" s="66" t="str">
        <f t="shared" si="32"/>
        <v>$Gc</v>
      </c>
      <c r="W133" s="66" t="str">
        <f t="shared" si="33"/>
        <v>$dropDrift</v>
      </c>
      <c r="X133" s="66" t="str">
        <f t="shared" si="34"/>
        <v>$muR</v>
      </c>
      <c r="Y133" s="66" t="str">
        <f t="shared" si="35"/>
        <v>-density</v>
      </c>
      <c r="Z133" s="66" t="str">
        <f t="shared" si="36"/>
        <v>$rho</v>
      </c>
      <c r="AA133" s="66" t="str">
        <f t="shared" si="37"/>
        <v>-pDelta</v>
      </c>
      <c r="AB133" s="66" t="str">
        <f t="shared" si="46"/>
        <v>-secantDamping</v>
      </c>
      <c r="AC133" s="66" t="str">
        <f t="shared" si="38"/>
        <v>-driftS</v>
      </c>
      <c r="AD133" s="66" t="str">
        <f t="shared" si="39"/>
        <v>$driftS</v>
      </c>
      <c r="AE133" s="66" t="str">
        <f t="shared" si="40"/>
        <v>0.8</v>
      </c>
      <c r="AF133" s="66" t="str">
        <f t="shared" si="41"/>
        <v>-driftF</v>
      </c>
      <c r="AG133" s="66" t="str">
        <f t="shared" si="42"/>
        <v>$driftF</v>
      </c>
      <c r="AH133" s="66" t="str">
        <f t="shared" si="43"/>
        <v>0.0</v>
      </c>
      <c r="AI133" s="66" t="str" cm="1">
        <f t="array" ref="AI133">TRIM(_xlfn.TEXTJOIN(CHAR(9),TRUE,B133:M133, TEXT(ROUND(N133:P133,3),"0.000"),Q133:AD133,TEXT(ROUND(AE133,1),"0.0"),AF133:AG133,TEXT(ROUND(AH133,1),"0.0")))</f>
        <v>element Macroelement3d	114	73	70	213	0	0	1	0	-1	0	-pier	2.000	3.480	0.400	$Eelement	$Gs	$fc	$mus	$coh	$Gc	$dropDrift	$muR	-density	$rho	-pDelta	-secantDamping	-driftS	$driftS	0.8	-driftF	$driftF	0.0</v>
      </c>
      <c r="AT133">
        <f t="shared" si="47"/>
        <v>2.7840000000000003</v>
      </c>
    </row>
    <row r="134" spans="1:46" x14ac:dyDescent="0.3">
      <c r="A134" s="66" t="s">
        <v>21</v>
      </c>
      <c r="B134" s="66" t="s">
        <v>48</v>
      </c>
      <c r="C134" s="68">
        <v>115</v>
      </c>
      <c r="D134" s="68">
        <v>101</v>
      </c>
      <c r="E134" s="68">
        <v>73</v>
      </c>
      <c r="F134" s="68">
        <v>214</v>
      </c>
      <c r="G134" s="68">
        <v>1</v>
      </c>
      <c r="H134" s="68">
        <v>0</v>
      </c>
      <c r="I134" s="68">
        <v>0</v>
      </c>
      <c r="J134" s="68">
        <v>0</v>
      </c>
      <c r="K134" s="68">
        <v>-1</v>
      </c>
      <c r="L134" s="68">
        <v>0</v>
      </c>
      <c r="M134" s="66" t="str">
        <f t="shared" si="26"/>
        <v>-spandrel</v>
      </c>
      <c r="N134" s="69">
        <v>1</v>
      </c>
      <c r="O134" s="69">
        <v>0.95</v>
      </c>
      <c r="P134" s="69">
        <v>0.4</v>
      </c>
      <c r="Q134" s="66" t="str">
        <f t="shared" si="27"/>
        <v>$Eelement</v>
      </c>
      <c r="R134" s="66" t="str">
        <f t="shared" si="28"/>
        <v>$Gs</v>
      </c>
      <c r="S134" s="66" t="str">
        <f t="shared" si="29"/>
        <v>$fc</v>
      </c>
      <c r="T134" s="66" t="str">
        <f t="shared" si="30"/>
        <v>$mus</v>
      </c>
      <c r="U134" s="66" t="str">
        <f t="shared" si="31"/>
        <v>$coh</v>
      </c>
      <c r="V134" s="66" t="str">
        <f t="shared" si="32"/>
        <v>$Gc</v>
      </c>
      <c r="W134" s="66" t="str">
        <f t="shared" si="33"/>
        <v>$dropDrift</v>
      </c>
      <c r="X134" s="66" t="str">
        <f t="shared" si="34"/>
        <v>$muR</v>
      </c>
      <c r="Y134" s="66" t="str">
        <f t="shared" si="35"/>
        <v>-density</v>
      </c>
      <c r="Z134" s="66" t="str">
        <f t="shared" si="36"/>
        <v>$rho</v>
      </c>
      <c r="AA134" s="66" t="str">
        <f t="shared" si="37"/>
        <v>-pDelta</v>
      </c>
      <c r="AB134" s="66" t="str">
        <f t="shared" si="46"/>
        <v>-secantDamping</v>
      </c>
      <c r="AC134" s="66" t="str">
        <f t="shared" si="38"/>
        <v>-driftS</v>
      </c>
      <c r="AD134" s="66" t="str">
        <f t="shared" si="39"/>
        <v>$driftS</v>
      </c>
      <c r="AE134" s="66" t="str">
        <f t="shared" si="40"/>
        <v>0.8</v>
      </c>
      <c r="AF134" s="66" t="str">
        <f t="shared" si="41"/>
        <v>-driftF</v>
      </c>
      <c r="AG134" s="66" t="str">
        <f t="shared" si="42"/>
        <v>$driftF</v>
      </c>
      <c r="AH134" s="66" t="str">
        <f t="shared" si="43"/>
        <v>0.0</v>
      </c>
      <c r="AI134" s="66" t="str" cm="1">
        <f t="array" ref="AI134">TRIM(_xlfn.TEXTJOIN(CHAR(9),TRUE,B134:M134, TEXT(ROUND(N134:P134,3),"0.000"),Q134:AD134,TEXT(ROUND(AE134,1),"0.0"),AF134:AG134,TEXT(ROUND(AH134,1),"0.0")))</f>
        <v>element Macroelement3d	115	101	73	214	1	0	0	0	-1	0	-spandrel	1.000	0.950	0.400	$Eelement	$Gs	$fc	$mus	$coh	$Gc	$dropDrift	$muR	-density	$rho	-pDelta	-secantDamping	-driftS	$driftS	0.8	-driftF	$driftF	0.0</v>
      </c>
      <c r="AT134">
        <f t="shared" si="47"/>
        <v>0.38</v>
      </c>
    </row>
    <row r="135" spans="1:46" x14ac:dyDescent="0.3">
      <c r="A135" s="66" t="s">
        <v>21</v>
      </c>
      <c r="B135" s="66" t="s">
        <v>48</v>
      </c>
      <c r="C135" s="68">
        <v>116</v>
      </c>
      <c r="D135" s="68">
        <v>102</v>
      </c>
      <c r="E135" s="68">
        <v>101</v>
      </c>
      <c r="F135" s="68">
        <v>215</v>
      </c>
      <c r="G135" s="68">
        <v>0</v>
      </c>
      <c r="H135" s="68">
        <v>0</v>
      </c>
      <c r="I135" s="68">
        <v>1</v>
      </c>
      <c r="J135" s="68">
        <v>0</v>
      </c>
      <c r="K135" s="68">
        <v>-1</v>
      </c>
      <c r="L135" s="68">
        <v>0</v>
      </c>
      <c r="M135" s="66" t="str">
        <f t="shared" si="26"/>
        <v>-pier</v>
      </c>
      <c r="N135" s="69">
        <v>2</v>
      </c>
      <c r="O135" s="69">
        <v>0.7</v>
      </c>
      <c r="P135" s="69">
        <v>0.4</v>
      </c>
      <c r="Q135" s="66" t="str">
        <f t="shared" si="27"/>
        <v>$Eelement</v>
      </c>
      <c r="R135" s="66" t="str">
        <f t="shared" si="28"/>
        <v>$Gs</v>
      </c>
      <c r="S135" s="66" t="str">
        <f t="shared" si="29"/>
        <v>$fc</v>
      </c>
      <c r="T135" s="66" t="str">
        <f t="shared" si="30"/>
        <v>$mus</v>
      </c>
      <c r="U135" s="66" t="str">
        <f t="shared" si="31"/>
        <v>$coh</v>
      </c>
      <c r="V135" s="66" t="str">
        <f t="shared" si="32"/>
        <v>$Gc</v>
      </c>
      <c r="W135" s="66" t="str">
        <f t="shared" si="33"/>
        <v>$dropDrift</v>
      </c>
      <c r="X135" s="66" t="str">
        <f t="shared" si="34"/>
        <v>$muR</v>
      </c>
      <c r="Y135" s="66" t="str">
        <f t="shared" si="35"/>
        <v>-density</v>
      </c>
      <c r="Z135" s="66" t="str">
        <f t="shared" si="36"/>
        <v>$rho</v>
      </c>
      <c r="AA135" s="66" t="str">
        <f t="shared" si="37"/>
        <v>-pDelta</v>
      </c>
      <c r="AB135" s="66" t="str">
        <f t="shared" si="46"/>
        <v>-secantDamping</v>
      </c>
      <c r="AC135" s="66" t="str">
        <f t="shared" si="38"/>
        <v>-driftS</v>
      </c>
      <c r="AD135" s="66" t="str">
        <f t="shared" si="39"/>
        <v>$driftS</v>
      </c>
      <c r="AE135" s="66" t="str">
        <f t="shared" si="40"/>
        <v>0.8</v>
      </c>
      <c r="AF135" s="66" t="str">
        <f t="shared" si="41"/>
        <v>-driftF</v>
      </c>
      <c r="AG135" s="66" t="str">
        <f t="shared" si="42"/>
        <v>$driftF</v>
      </c>
      <c r="AH135" s="66" t="str">
        <f t="shared" si="43"/>
        <v>0.0</v>
      </c>
      <c r="AI135" s="66" t="str" cm="1">
        <f t="array" ref="AI135">TRIM(_xlfn.TEXTJOIN(CHAR(9),TRUE,B135:M135, TEXT(ROUND(N135:P135,3),"0.000"),Q135:AD135,TEXT(ROUND(AE135,1),"0.0"),AF135:AG135,TEXT(ROUND(AH135,1),"0.0")))</f>
        <v>element Macroelement3d	116	102	101	215	0	0	1	0	-1	0	-pier	2.000	0.700	0.400	$Eelement	$Gs	$fc	$mus	$coh	$Gc	$dropDrift	$muR	-density	$rho	-pDelta	-secantDamping	-driftS	$driftS	0.8	-driftF	$driftF	0.0</v>
      </c>
      <c r="AT135">
        <f t="shared" si="47"/>
        <v>0.55999999999999994</v>
      </c>
    </row>
    <row r="136" spans="1:46" x14ac:dyDescent="0.3">
      <c r="A136" s="66" t="s">
        <v>21</v>
      </c>
      <c r="B136" s="66" t="s">
        <v>48</v>
      </c>
      <c r="C136" s="68">
        <v>117</v>
      </c>
      <c r="D136" s="68">
        <v>76</v>
      </c>
      <c r="E136" s="68">
        <v>73</v>
      </c>
      <c r="F136" s="68">
        <v>216</v>
      </c>
      <c r="G136" s="68">
        <v>0</v>
      </c>
      <c r="H136" s="68">
        <v>0</v>
      </c>
      <c r="I136" s="68">
        <v>1</v>
      </c>
      <c r="J136" s="68">
        <v>0</v>
      </c>
      <c r="K136" s="68">
        <v>-1</v>
      </c>
      <c r="L136" s="68">
        <v>0</v>
      </c>
      <c r="M136" s="66" t="str">
        <f t="shared" si="26"/>
        <v>-pier</v>
      </c>
      <c r="N136" s="69">
        <v>2</v>
      </c>
      <c r="O136" s="69">
        <v>3.48</v>
      </c>
      <c r="P136" s="69">
        <v>0.4</v>
      </c>
      <c r="Q136" s="66" t="str">
        <f t="shared" si="27"/>
        <v>$Eelement</v>
      </c>
      <c r="R136" s="66" t="str">
        <f t="shared" si="28"/>
        <v>$Gs</v>
      </c>
      <c r="S136" s="66" t="str">
        <f t="shared" si="29"/>
        <v>$fc</v>
      </c>
      <c r="T136" s="66" t="str">
        <f t="shared" si="30"/>
        <v>$mus</v>
      </c>
      <c r="U136" s="66" t="str">
        <f t="shared" si="31"/>
        <v>$coh</v>
      </c>
      <c r="V136" s="66" t="str">
        <f t="shared" si="32"/>
        <v>$Gc</v>
      </c>
      <c r="W136" s="66" t="str">
        <f t="shared" si="33"/>
        <v>$dropDrift</v>
      </c>
      <c r="X136" s="66" t="str">
        <f t="shared" si="34"/>
        <v>$muR</v>
      </c>
      <c r="Y136" s="66" t="str">
        <f t="shared" si="35"/>
        <v>-density</v>
      </c>
      <c r="Z136" s="66" t="str">
        <f t="shared" si="36"/>
        <v>$rho</v>
      </c>
      <c r="AA136" s="66" t="str">
        <f t="shared" si="37"/>
        <v>-pDelta</v>
      </c>
      <c r="AB136" s="66" t="str">
        <f t="shared" si="46"/>
        <v>-secantDamping</v>
      </c>
      <c r="AC136" s="66" t="str">
        <f t="shared" si="38"/>
        <v>-driftS</v>
      </c>
      <c r="AD136" s="66" t="str">
        <f t="shared" si="39"/>
        <v>$driftS</v>
      </c>
      <c r="AE136" s="66" t="str">
        <f t="shared" si="40"/>
        <v>0.8</v>
      </c>
      <c r="AF136" s="66" t="str">
        <f t="shared" si="41"/>
        <v>-driftF</v>
      </c>
      <c r="AG136" s="66" t="str">
        <f t="shared" si="42"/>
        <v>$driftF</v>
      </c>
      <c r="AH136" s="66" t="str">
        <f t="shared" si="43"/>
        <v>0.0</v>
      </c>
      <c r="AI136" s="66" t="str" cm="1">
        <f t="array" ref="AI136">TRIM(_xlfn.TEXTJOIN(CHAR(9),TRUE,B136:M136, TEXT(ROUND(N136:P136,3),"0.000"),Q136:AD136,TEXT(ROUND(AE136,1),"0.0"),AF136:AG136,TEXT(ROUND(AH136,1),"0.0")))</f>
        <v>element Macroelement3d	117	76	73	216	0	0	1	0	-1	0	-pier	2.000	3.480	0.400	$Eelement	$Gs	$fc	$mus	$coh	$Gc	$dropDrift	$muR	-density	$rho	-pDelta	-secantDamping	-driftS	$driftS	0.8	-driftF	$driftF	0.0</v>
      </c>
      <c r="AT136">
        <f t="shared" si="47"/>
        <v>2.7840000000000003</v>
      </c>
    </row>
    <row r="137" spans="1:46" x14ac:dyDescent="0.3"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N137" s="2"/>
      <c r="O137" s="2"/>
      <c r="P137" s="2"/>
      <c r="Q137" t="str">
        <f t="shared" si="27"/>
        <v/>
      </c>
      <c r="R137" t="str">
        <f t="shared" ref="R137:R144" si="48">IF(C137="","","$Gs")</f>
        <v/>
      </c>
      <c r="S137" t="str">
        <f t="shared" ref="S137:S144" si="49">IF(C137="","","$fc")</f>
        <v/>
      </c>
      <c r="T137" t="str">
        <f t="shared" ref="T137:T144" si="50">IF(C137="","","$mus")</f>
        <v/>
      </c>
      <c r="U137" t="str">
        <f t="shared" ref="U137:U144" si="51">IF(C137="","","$coh")</f>
        <v/>
      </c>
      <c r="V137" t="str">
        <f t="shared" ref="V137:V144" si="52">IF(C137="","","$Gc")</f>
        <v/>
      </c>
      <c r="W137" t="str">
        <f t="shared" ref="W137:W138" si="53">IF(C137="","","$dropDrift")</f>
        <v/>
      </c>
      <c r="X137" t="str">
        <f t="shared" ref="X137:X142" si="54">IF(C137="","","$muR")</f>
        <v/>
      </c>
      <c r="Y137" t="str">
        <f t="shared" ref="Y137:Y139" si="55">IF(C137="","","-density")</f>
        <v/>
      </c>
      <c r="Z137" t="str">
        <f t="shared" ref="Z137:Z139" si="56">IF(C137="","","$rho")</f>
        <v/>
      </c>
      <c r="AA137" t="str">
        <f t="shared" ref="AA137:AA142" si="57">IF(C137="","","-pDelta")</f>
        <v/>
      </c>
      <c r="AB137" t="str">
        <f t="shared" si="46"/>
        <v/>
      </c>
      <c r="AC137" t="str">
        <f t="shared" si="38"/>
        <v/>
      </c>
      <c r="AD137" t="str">
        <f t="shared" si="39"/>
        <v/>
      </c>
      <c r="AE137" t="str">
        <f t="shared" si="40"/>
        <v/>
      </c>
      <c r="AF137" t="str">
        <f t="shared" si="41"/>
        <v/>
      </c>
      <c r="AG137" t="str">
        <f t="shared" si="42"/>
        <v/>
      </c>
      <c r="AH137" t="str">
        <f t="shared" si="43"/>
        <v/>
      </c>
      <c r="AJ137" t="str">
        <f>IF(X137="","","-density")</f>
        <v/>
      </c>
      <c r="AK137" t="str">
        <f>IF(Y137="","","$rho")</f>
        <v/>
      </c>
      <c r="AL137" t="str">
        <f>IF(Z137="","","-pDelta")</f>
        <v/>
      </c>
      <c r="AM137" t="str">
        <f>IF(AA137="","",#REF!)</f>
        <v/>
      </c>
      <c r="AT137" t="str">
        <f t="shared" si="47"/>
        <v/>
      </c>
    </row>
    <row r="138" spans="1:46" s="38" customFormat="1" x14ac:dyDescent="0.3">
      <c r="A138" s="138" t="s">
        <v>45</v>
      </c>
      <c r="B138" s="138" t="s">
        <v>10</v>
      </c>
      <c r="C138" s="139"/>
      <c r="Q138" s="38" t="str">
        <f t="shared" ref="Q138:Q144" si="58">IF(C138="","","$Eelement")</f>
        <v/>
      </c>
      <c r="R138" s="38" t="str">
        <f t="shared" si="48"/>
        <v/>
      </c>
      <c r="S138" s="38" t="str">
        <f t="shared" si="49"/>
        <v/>
      </c>
      <c r="T138" s="38" t="str">
        <f t="shared" si="50"/>
        <v/>
      </c>
      <c r="U138" s="38" t="str">
        <f t="shared" si="51"/>
        <v/>
      </c>
      <c r="V138" s="38" t="str">
        <f t="shared" si="52"/>
        <v/>
      </c>
      <c r="W138" s="38" t="str">
        <f t="shared" si="53"/>
        <v/>
      </c>
      <c r="X138" s="38" t="str">
        <f t="shared" si="54"/>
        <v/>
      </c>
      <c r="Y138" s="38" t="str">
        <f t="shared" si="55"/>
        <v/>
      </c>
      <c r="Z138" s="38" t="str">
        <f t="shared" si="56"/>
        <v/>
      </c>
      <c r="AA138" s="38" t="str">
        <f t="shared" si="57"/>
        <v/>
      </c>
      <c r="AB138" s="38" t="str">
        <f t="shared" si="46"/>
        <v/>
      </c>
      <c r="AC138" s="38" t="str">
        <f t="shared" ref="AC138:AC145" si="59">IF(W138="","",$AC$7)</f>
        <v/>
      </c>
      <c r="AD138" s="38" t="str">
        <f t="shared" ref="AD138:AD145" si="60">IF(W138="","",$AD$7)</f>
        <v/>
      </c>
      <c r="AE138" s="38" t="str">
        <f t="shared" ref="AE138:AE145" si="61">IF(W138="","",$AE$7)</f>
        <v/>
      </c>
      <c r="AF138" s="38" t="str">
        <f t="shared" ref="AF138:AF145" si="62">IF(Z138="","",$AF$7)</f>
        <v/>
      </c>
      <c r="AG138" s="38" t="str">
        <f t="shared" ref="AG138:AG145" si="63">IF(W138="","",$AG$7)</f>
        <v/>
      </c>
      <c r="AH138" s="38" t="str">
        <f t="shared" ref="AH138:AH145" si="64">IF(W138="","",$AH$7)</f>
        <v/>
      </c>
      <c r="AI138" s="38" t="str">
        <f>TRIM(_xlfn.TEXTJOIN(CHAR(9),TRUE,B138:AA138))</f>
        <v>#Wall 9</v>
      </c>
      <c r="AT138" s="38" t="str">
        <f t="shared" ref="AT138:AT144" si="65">IF(C138="","",N138*O138*P138)</f>
        <v/>
      </c>
    </row>
    <row r="139" spans="1:46" x14ac:dyDescent="0.3">
      <c r="A139" s="66" t="s">
        <v>21</v>
      </c>
      <c r="B139" s="66" t="s">
        <v>48</v>
      </c>
      <c r="C139" s="68">
        <v>118</v>
      </c>
      <c r="D139" s="68">
        <v>56</v>
      </c>
      <c r="E139" s="68">
        <v>55</v>
      </c>
      <c r="F139" s="68">
        <v>217</v>
      </c>
      <c r="G139" s="68">
        <v>0</v>
      </c>
      <c r="H139" s="68">
        <v>0</v>
      </c>
      <c r="I139" s="68">
        <v>1</v>
      </c>
      <c r="J139" s="68">
        <v>1</v>
      </c>
      <c r="K139" s="68">
        <v>0</v>
      </c>
      <c r="L139" s="68">
        <v>0</v>
      </c>
      <c r="M139" s="66" t="str">
        <f>IF(I139=1,"-tremuri","-spandrel")</f>
        <v>-tremuri</v>
      </c>
      <c r="N139" s="69">
        <v>3.4</v>
      </c>
      <c r="O139" s="69">
        <v>2.1</v>
      </c>
      <c r="P139" s="69">
        <v>0.6</v>
      </c>
      <c r="Q139" s="66" t="str">
        <f t="shared" si="58"/>
        <v>$Eelement</v>
      </c>
      <c r="R139" s="66" t="str">
        <f t="shared" si="48"/>
        <v>$Gs</v>
      </c>
      <c r="S139" s="66" t="str">
        <f t="shared" si="49"/>
        <v>$fc</v>
      </c>
      <c r="T139" s="66" t="str">
        <f t="shared" si="50"/>
        <v>$mus</v>
      </c>
      <c r="U139" s="66" t="str">
        <f t="shared" si="51"/>
        <v>$coh</v>
      </c>
      <c r="V139" s="66" t="str">
        <f t="shared" si="52"/>
        <v>$Gc</v>
      </c>
      <c r="W139" s="66" t="s">
        <v>339</v>
      </c>
      <c r="X139" s="66"/>
      <c r="Y139" s="66" t="str">
        <f t="shared" si="55"/>
        <v>-density</v>
      </c>
      <c r="Z139" s="66" t="str">
        <f t="shared" si="56"/>
        <v>$rho</v>
      </c>
      <c r="AA139" s="66"/>
      <c r="AB139" s="66" t="str">
        <f t="shared" ref="AB139:AB144" si="66">IF(W139="","",$AB$7)</f>
        <v>-secantDamping</v>
      </c>
      <c r="AI139" s="66" t="str" cm="1">
        <f t="array" ref="AI139">TRIM(_xlfn.TEXTJOIN(CHAR(9),TRUE,B139:M139, TEXT(ROUND(N139:P139,3),"0.000"),Q139:AB139))</f>
        <v>element Macroelement3d	118	56	55	217	0	0	1	1	0	0	-tremuri	3.400	2.100	0.600	$Eelement	$Gs	$fc	$mus	$coh	$Gc	$betaTremuri	-density	$rho	-secantDamping</v>
      </c>
      <c r="AT139">
        <f t="shared" si="65"/>
        <v>4.2839999999999998</v>
      </c>
    </row>
    <row r="140" spans="1:46" x14ac:dyDescent="0.3">
      <c r="A140" s="66" t="s">
        <v>21</v>
      </c>
      <c r="B140" s="66" t="s">
        <v>48</v>
      </c>
      <c r="C140" s="68">
        <v>119</v>
      </c>
      <c r="D140" s="68">
        <v>57</v>
      </c>
      <c r="E140" s="68">
        <v>56</v>
      </c>
      <c r="F140" s="68">
        <v>218</v>
      </c>
      <c r="G140" s="68">
        <v>0</v>
      </c>
      <c r="H140" s="68">
        <v>0</v>
      </c>
      <c r="I140" s="68">
        <v>1</v>
      </c>
      <c r="J140" s="68">
        <v>1</v>
      </c>
      <c r="K140" s="68">
        <v>0</v>
      </c>
      <c r="L140" s="68">
        <v>0</v>
      </c>
      <c r="M140" s="66" t="str">
        <f t="shared" ref="M140:M144" si="67">IF(I140=1,"-tremuri","-spandrel")</f>
        <v>-tremuri</v>
      </c>
      <c r="N140" s="69">
        <v>2.7</v>
      </c>
      <c r="O140" s="69">
        <v>2.1</v>
      </c>
      <c r="P140" s="69">
        <v>0.6</v>
      </c>
      <c r="Q140" s="66" t="str">
        <f t="shared" si="58"/>
        <v>$Eelement</v>
      </c>
      <c r="R140" s="66" t="str">
        <f t="shared" si="48"/>
        <v>$Gs</v>
      </c>
      <c r="S140" s="66" t="str">
        <f t="shared" si="49"/>
        <v>$fc</v>
      </c>
      <c r="T140" s="66" t="str">
        <f t="shared" si="50"/>
        <v>$mus</v>
      </c>
      <c r="U140" s="66" t="str">
        <f t="shared" si="51"/>
        <v>$coh</v>
      </c>
      <c r="V140" s="66" t="str">
        <f t="shared" si="52"/>
        <v>$Gc</v>
      </c>
      <c r="W140" s="66" t="s">
        <v>339</v>
      </c>
      <c r="X140" s="66"/>
      <c r="Y140" s="66" t="str">
        <f t="shared" ref="Y140:Y144" si="68">IF(C140="","","-density")</f>
        <v>-density</v>
      </c>
      <c r="Z140" s="66" t="str">
        <f t="shared" ref="Z140:Z144" si="69">IF(C140="","","$rho")</f>
        <v>$rho</v>
      </c>
      <c r="AA140" s="66"/>
      <c r="AB140" s="66" t="str">
        <f t="shared" si="66"/>
        <v>-secantDamping</v>
      </c>
      <c r="AI140" s="66" t="str" cm="1">
        <f t="array" ref="AI140">TRIM(_xlfn.TEXTJOIN(CHAR(9),TRUE,B140:M140, TEXT(ROUND(N140:P140,3),"0.000"),Q140:AB140))</f>
        <v>element Macroelement3d	119	57	56	218	0	0	1	1	0	0	-tremuri	2.700	2.100	0.600	$Eelement	$Gs	$fc	$mus	$coh	$Gc	$betaTremuri	-density	$rho	-secantDamping</v>
      </c>
      <c r="AT140">
        <f t="shared" si="65"/>
        <v>3.4020000000000006</v>
      </c>
    </row>
    <row r="141" spans="1:46" x14ac:dyDescent="0.3"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N141" s="2"/>
      <c r="O141" s="2"/>
      <c r="P141" s="2"/>
      <c r="Q141" t="str">
        <f t="shared" si="58"/>
        <v/>
      </c>
      <c r="R141" t="str">
        <f t="shared" si="48"/>
        <v/>
      </c>
      <c r="S141" t="str">
        <f t="shared" si="49"/>
        <v/>
      </c>
      <c r="T141" t="str">
        <f t="shared" si="50"/>
        <v/>
      </c>
      <c r="U141" t="str">
        <f t="shared" si="51"/>
        <v/>
      </c>
      <c r="V141" t="str">
        <f t="shared" si="52"/>
        <v/>
      </c>
      <c r="X141" t="str">
        <f t="shared" si="54"/>
        <v/>
      </c>
      <c r="Y141" t="str">
        <f t="shared" si="68"/>
        <v/>
      </c>
      <c r="Z141" t="str">
        <f t="shared" si="69"/>
        <v/>
      </c>
      <c r="AA141" t="str">
        <f t="shared" si="57"/>
        <v/>
      </c>
      <c r="AB141" t="str">
        <f t="shared" si="66"/>
        <v/>
      </c>
      <c r="AT141" t="str">
        <f t="shared" si="65"/>
        <v/>
      </c>
    </row>
    <row r="142" spans="1:46" s="38" customFormat="1" x14ac:dyDescent="0.3">
      <c r="A142" s="138" t="s">
        <v>45</v>
      </c>
      <c r="B142" s="138" t="s">
        <v>11</v>
      </c>
      <c r="C142" s="139"/>
      <c r="X142" s="38" t="str">
        <f t="shared" si="54"/>
        <v/>
      </c>
      <c r="Y142" s="38" t="str">
        <f t="shared" si="68"/>
        <v/>
      </c>
      <c r="Z142" s="38" t="str">
        <f t="shared" si="69"/>
        <v/>
      </c>
      <c r="AA142" s="38" t="str">
        <f t="shared" si="57"/>
        <v/>
      </c>
      <c r="AB142" s="38" t="str">
        <f t="shared" si="66"/>
        <v/>
      </c>
      <c r="AI142" s="38" t="str">
        <f>TRIM(_xlfn.TEXTJOIN(CHAR(9),TRUE,B142:AA142))</f>
        <v>#Wall 10</v>
      </c>
      <c r="AT142" s="38" t="str">
        <f t="shared" si="65"/>
        <v/>
      </c>
    </row>
    <row r="143" spans="1:46" x14ac:dyDescent="0.3">
      <c r="A143" s="66" t="s">
        <v>21</v>
      </c>
      <c r="B143" s="66" t="s">
        <v>48</v>
      </c>
      <c r="C143" s="68">
        <v>120</v>
      </c>
      <c r="D143" s="68">
        <v>95</v>
      </c>
      <c r="E143" s="68">
        <v>92</v>
      </c>
      <c r="F143" s="68">
        <v>219</v>
      </c>
      <c r="G143" s="68">
        <v>0</v>
      </c>
      <c r="H143" s="68">
        <v>0</v>
      </c>
      <c r="I143" s="68">
        <v>1</v>
      </c>
      <c r="J143" s="68">
        <v>1</v>
      </c>
      <c r="K143" s="68">
        <v>0</v>
      </c>
      <c r="L143" s="68">
        <v>0</v>
      </c>
      <c r="M143" s="66" t="str">
        <f t="shared" si="67"/>
        <v>-tremuri</v>
      </c>
      <c r="N143" s="69">
        <v>3.4</v>
      </c>
      <c r="O143" s="69">
        <v>3.85</v>
      </c>
      <c r="P143" s="69">
        <v>0.4</v>
      </c>
      <c r="Q143" s="66" t="str">
        <f t="shared" si="58"/>
        <v>$Eelement</v>
      </c>
      <c r="R143" s="66" t="str">
        <f t="shared" si="48"/>
        <v>$Gs</v>
      </c>
      <c r="S143" s="66" t="str">
        <f t="shared" si="49"/>
        <v>$fc</v>
      </c>
      <c r="T143" s="66" t="str">
        <f t="shared" si="50"/>
        <v>$mus</v>
      </c>
      <c r="U143" s="66" t="str">
        <f t="shared" si="51"/>
        <v>$coh</v>
      </c>
      <c r="V143" s="66" t="str">
        <f t="shared" si="52"/>
        <v>$Gc</v>
      </c>
      <c r="W143" s="66" t="s">
        <v>339</v>
      </c>
      <c r="X143" s="66"/>
      <c r="Y143" s="66" t="str">
        <f t="shared" si="68"/>
        <v>-density</v>
      </c>
      <c r="Z143" s="66" t="str">
        <f t="shared" si="69"/>
        <v>$rho</v>
      </c>
      <c r="AA143" s="66"/>
      <c r="AB143" s="66" t="str">
        <f t="shared" si="66"/>
        <v>-secantDamping</v>
      </c>
      <c r="AI143" s="66" t="str" cm="1">
        <f t="array" ref="AI143">TRIM(_xlfn.TEXTJOIN(CHAR(9),TRUE,B143:M143, TEXT(ROUND(N143:P143,3),"0.000"),Q143:AB143))</f>
        <v>element Macroelement3d	120	95	92	219	0	0	1	1	0	0	-tremuri	3.400	3.850	0.400	$Eelement	$Gs	$fc	$mus	$coh	$Gc	$betaTremuri	-density	$rho	-secantDamping</v>
      </c>
      <c r="AT143">
        <f t="shared" si="65"/>
        <v>5.2360000000000007</v>
      </c>
    </row>
    <row r="144" spans="1:46" x14ac:dyDescent="0.3">
      <c r="A144" s="66" t="s">
        <v>21</v>
      </c>
      <c r="B144" s="66" t="s">
        <v>48</v>
      </c>
      <c r="C144" s="68">
        <v>121</v>
      </c>
      <c r="D144" s="68">
        <v>98</v>
      </c>
      <c r="E144" s="68">
        <v>95</v>
      </c>
      <c r="F144" s="68">
        <v>220</v>
      </c>
      <c r="G144" s="68">
        <v>0</v>
      </c>
      <c r="H144" s="68">
        <v>0</v>
      </c>
      <c r="I144" s="68">
        <v>1</v>
      </c>
      <c r="J144" s="68">
        <v>1</v>
      </c>
      <c r="K144" s="68">
        <v>0</v>
      </c>
      <c r="L144" s="68">
        <v>0</v>
      </c>
      <c r="M144" s="66" t="str">
        <f t="shared" si="67"/>
        <v>-tremuri</v>
      </c>
      <c r="N144" s="69">
        <v>2.7</v>
      </c>
      <c r="O144" s="69">
        <v>3.85</v>
      </c>
      <c r="P144" s="69">
        <v>0.6</v>
      </c>
      <c r="Q144" s="66" t="str">
        <f t="shared" si="58"/>
        <v>$Eelement</v>
      </c>
      <c r="R144" s="66" t="str">
        <f t="shared" si="48"/>
        <v>$Gs</v>
      </c>
      <c r="S144" s="66" t="str">
        <f t="shared" si="49"/>
        <v>$fc</v>
      </c>
      <c r="T144" s="66" t="str">
        <f t="shared" si="50"/>
        <v>$mus</v>
      </c>
      <c r="U144" s="66" t="str">
        <f t="shared" si="51"/>
        <v>$coh</v>
      </c>
      <c r="V144" s="66" t="str">
        <f t="shared" si="52"/>
        <v>$Gc</v>
      </c>
      <c r="W144" s="66" t="s">
        <v>339</v>
      </c>
      <c r="X144" s="66"/>
      <c r="Y144" s="66" t="str">
        <f t="shared" si="68"/>
        <v>-density</v>
      </c>
      <c r="Z144" s="66" t="str">
        <f t="shared" si="69"/>
        <v>$rho</v>
      </c>
      <c r="AA144" s="66"/>
      <c r="AB144" s="66" t="str">
        <f t="shared" si="66"/>
        <v>-secantDamping</v>
      </c>
      <c r="AI144" s="66" t="str" cm="1">
        <f t="array" ref="AI144">TRIM(_xlfn.TEXTJOIN(CHAR(9),TRUE,B144:M144, TEXT(ROUND(N144:P144,3),"0.000"),Q144:AB144))</f>
        <v>element Macroelement3d	121	98	95	220	0	0	1	1	0	0	-tremuri	2.700	3.850	0.600	$Eelement	$Gs	$fc	$mus	$coh	$Gc	$betaTremuri	-density	$rho	-secantDamping</v>
      </c>
      <c r="AT144">
        <f t="shared" si="65"/>
        <v>6.237000000000001</v>
      </c>
    </row>
    <row r="145" spans="1:46" x14ac:dyDescent="0.3">
      <c r="A145" t="s">
        <v>46</v>
      </c>
      <c r="I145" s="29"/>
      <c r="J145" s="29"/>
      <c r="K145" s="29"/>
      <c r="N145" s="2"/>
      <c r="O145" s="2"/>
      <c r="P145" s="2"/>
      <c r="AB145" t="str">
        <f t="shared" ref="AB145" si="70">IF(W145="","",$AB$7)</f>
        <v/>
      </c>
      <c r="AC145" t="str">
        <f t="shared" si="59"/>
        <v/>
      </c>
      <c r="AD145" t="str">
        <f t="shared" si="60"/>
        <v/>
      </c>
      <c r="AE145" t="str">
        <f t="shared" si="61"/>
        <v/>
      </c>
      <c r="AF145" t="str">
        <f t="shared" si="62"/>
        <v/>
      </c>
      <c r="AG145" t="str">
        <f t="shared" si="63"/>
        <v/>
      </c>
      <c r="AH145" t="str">
        <f t="shared" si="64"/>
        <v/>
      </c>
    </row>
    <row r="146" spans="1:46" x14ac:dyDescent="0.3">
      <c r="I146" s="29"/>
      <c r="J146" s="29"/>
      <c r="K146" s="29"/>
      <c r="N146" s="2"/>
      <c r="O146" s="2"/>
      <c r="P146" s="2"/>
      <c r="AT146">
        <f>SUM(AT9:AT144)</f>
        <v>207.91812499999992</v>
      </c>
    </row>
    <row r="147" spans="1:46" x14ac:dyDescent="0.3">
      <c r="I147" s="29"/>
      <c r="J147" s="29"/>
      <c r="K147" s="29"/>
      <c r="N147" s="2"/>
      <c r="O147" s="2"/>
      <c r="P147" s="2"/>
      <c r="AT147">
        <f>AT146*1800</f>
        <v>374252.62499999983</v>
      </c>
    </row>
    <row r="148" spans="1:46" x14ac:dyDescent="0.3">
      <c r="I148" s="29"/>
      <c r="J148" s="29"/>
      <c r="K148" s="29"/>
      <c r="N148" s="2"/>
      <c r="O148" s="2"/>
      <c r="P148" s="2"/>
    </row>
    <row r="149" spans="1:46" x14ac:dyDescent="0.3">
      <c r="I149" s="29"/>
      <c r="J149" s="29"/>
      <c r="K149" s="29"/>
      <c r="N149" s="2"/>
      <c r="O149" s="2"/>
      <c r="P149" s="2"/>
    </row>
    <row r="150" spans="1:46" x14ac:dyDescent="0.3">
      <c r="I150" s="29"/>
      <c r="J150" s="29"/>
      <c r="K150" s="29"/>
      <c r="N150" s="2"/>
      <c r="O150" s="2"/>
      <c r="P150" s="2"/>
    </row>
    <row r="151" spans="1:46" x14ac:dyDescent="0.3">
      <c r="I151" s="29"/>
      <c r="J151" s="29"/>
      <c r="K151" s="29"/>
      <c r="N151" s="2"/>
      <c r="O151" s="2"/>
      <c r="P151" s="2"/>
    </row>
    <row r="152" spans="1:46" x14ac:dyDescent="0.3">
      <c r="I152" s="29"/>
      <c r="J152" s="29"/>
      <c r="K152" s="29"/>
      <c r="N152" s="2"/>
      <c r="O152" s="2"/>
      <c r="P152" s="2"/>
    </row>
    <row r="153" spans="1:46" x14ac:dyDescent="0.3">
      <c r="I153" s="29"/>
      <c r="J153" s="29"/>
      <c r="K153" s="29"/>
      <c r="N153" s="2"/>
      <c r="O153" s="2"/>
      <c r="P153" s="2"/>
    </row>
    <row r="154" spans="1:46" x14ac:dyDescent="0.3">
      <c r="I154" s="29"/>
      <c r="J154" s="29"/>
      <c r="K154" s="29"/>
      <c r="N154" s="2"/>
      <c r="O154" s="2"/>
      <c r="P154" s="2"/>
    </row>
    <row r="155" spans="1:46" x14ac:dyDescent="0.3">
      <c r="I155" s="29"/>
      <c r="J155" s="29"/>
      <c r="K155" s="29"/>
      <c r="N155" s="2"/>
      <c r="O155" s="2"/>
      <c r="P155" s="2"/>
    </row>
    <row r="156" spans="1:46" x14ac:dyDescent="0.3">
      <c r="I156" s="29"/>
      <c r="J156" s="29"/>
      <c r="K156" s="29"/>
      <c r="N156" s="2"/>
      <c r="O156" s="2"/>
      <c r="P156" s="2"/>
    </row>
    <row r="157" spans="1:46" x14ac:dyDescent="0.3">
      <c r="I157" s="29"/>
      <c r="J157" s="29"/>
      <c r="K157" s="29"/>
      <c r="N157" s="2"/>
      <c r="O157" s="2"/>
      <c r="P157" s="2"/>
    </row>
    <row r="158" spans="1:46" x14ac:dyDescent="0.3">
      <c r="I158" s="29"/>
      <c r="J158" s="29"/>
      <c r="K158" s="29"/>
      <c r="N158" s="2"/>
      <c r="O158" s="2"/>
      <c r="P158" s="2"/>
    </row>
    <row r="159" spans="1:46" x14ac:dyDescent="0.3">
      <c r="I159" s="29"/>
      <c r="J159" s="29"/>
      <c r="K159" s="29"/>
      <c r="N159" s="2"/>
      <c r="O159" s="2"/>
      <c r="P159" s="2"/>
    </row>
    <row r="160" spans="1:46" x14ac:dyDescent="0.3">
      <c r="I160" s="29"/>
      <c r="J160" s="29"/>
      <c r="K160" s="29"/>
      <c r="N160" s="2"/>
      <c r="O160" s="2"/>
      <c r="P160" s="2"/>
    </row>
    <row r="161" spans="9:16" x14ac:dyDescent="0.3">
      <c r="I161" s="29"/>
      <c r="J161" s="29"/>
      <c r="K161" s="29"/>
      <c r="N161" s="2"/>
      <c r="O161" s="2"/>
      <c r="P161" s="2"/>
    </row>
  </sheetData>
  <dataConsolidate/>
  <mergeCells count="1">
    <mergeCell ref="B3:D3"/>
  </mergeCells>
  <pageMargins left="0.7" right="0.7" top="0.75" bottom="0.75" header="0.3" footer="0.3"/>
  <pageSetup paperSize="8" scale="70" orientation="landscape" r:id="rId1"/>
  <headerFooter>
    <oddHeader>&amp;LMaster Thesis 2023/2024
&amp;CSt. Lawrence Parish House,
Petrinja, Croatia&amp;R&amp;G</oddHeader>
    <oddFooter>&amp;L&amp;A&amp;CModel: Initial state&amp;R&amp;P</oddFooter>
  </headerFooter>
  <colBreaks count="1" manualBreakCount="1">
    <brk id="34" max="1048575" man="1"/>
  </col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4A50-776E-4E70-8CA3-F0FFC2C9DC76}">
  <sheetPr>
    <tabColor theme="4"/>
  </sheetPr>
  <dimension ref="A1:K32"/>
  <sheetViews>
    <sheetView view="pageLayout" zoomScale="70" zoomScaleNormal="100" zoomScalePageLayoutView="70" workbookViewId="0">
      <selection activeCell="F3" sqref="F3"/>
    </sheetView>
  </sheetViews>
  <sheetFormatPr baseColWidth="10" defaultColWidth="10.6640625" defaultRowHeight="14" x14ac:dyDescent="0.3"/>
  <cols>
    <col min="1" max="1" width="13.4140625" bestFit="1" customWidth="1"/>
    <col min="2" max="2" width="25" bestFit="1" customWidth="1"/>
    <col min="3" max="3" width="8" bestFit="1" customWidth="1"/>
    <col min="4" max="5" width="10.83203125" bestFit="1" customWidth="1"/>
    <col min="6" max="7" width="8.75" bestFit="1" customWidth="1"/>
    <col min="8" max="8" width="8.58203125" bestFit="1" customWidth="1"/>
    <col min="9" max="9" width="8.25" bestFit="1" customWidth="1"/>
    <col min="10" max="10" width="6.25" bestFit="1" customWidth="1"/>
    <col min="11" max="11" width="90.6640625" bestFit="1" customWidth="1"/>
  </cols>
  <sheetData>
    <row r="1" spans="1:11" ht="17" thickBot="1" x14ac:dyDescent="0.4">
      <c r="A1" s="60" t="s">
        <v>382</v>
      </c>
      <c r="B1" s="58"/>
      <c r="C1" s="59"/>
      <c r="D1" s="59"/>
      <c r="E1" s="59"/>
      <c r="F1" s="58"/>
      <c r="G1" s="58"/>
      <c r="H1" s="58"/>
      <c r="I1" s="58"/>
      <c r="J1" s="58"/>
      <c r="K1" s="58"/>
    </row>
    <row r="2" spans="1:11" ht="14.5" thickTop="1" x14ac:dyDescent="0.3">
      <c r="A2" s="61" t="s">
        <v>378</v>
      </c>
      <c r="B2" t="s">
        <v>379</v>
      </c>
      <c r="C2" s="25"/>
      <c r="D2" s="25"/>
      <c r="E2" s="25"/>
    </row>
    <row r="3" spans="1:11" x14ac:dyDescent="0.3">
      <c r="A3" s="61" t="s">
        <v>375</v>
      </c>
      <c r="B3" s="140">
        <f ca="1">TODAY()</f>
        <v>45304</v>
      </c>
      <c r="C3" s="140"/>
      <c r="D3" s="140"/>
      <c r="E3" s="25"/>
    </row>
    <row r="4" spans="1:11" x14ac:dyDescent="0.3">
      <c r="A4" s="61" t="s">
        <v>376</v>
      </c>
      <c r="B4" t="s">
        <v>381</v>
      </c>
      <c r="C4" s="25"/>
      <c r="D4" s="25"/>
      <c r="E4" s="25"/>
    </row>
    <row r="5" spans="1:11" x14ac:dyDescent="0.3">
      <c r="A5" s="61" t="s">
        <v>377</v>
      </c>
      <c r="B5" t="s">
        <v>383</v>
      </c>
      <c r="C5" s="25"/>
      <c r="D5" s="25"/>
      <c r="E5" s="25"/>
    </row>
    <row r="6" spans="1:11" x14ac:dyDescent="0.3">
      <c r="C6" s="25"/>
      <c r="D6" s="25"/>
      <c r="E6" s="25"/>
    </row>
    <row r="7" spans="1:11" s="61" customFormat="1" x14ac:dyDescent="0.3">
      <c r="A7" s="61" t="s">
        <v>237</v>
      </c>
      <c r="B7" s="61" t="s">
        <v>58</v>
      </c>
      <c r="C7" s="61" t="s">
        <v>56</v>
      </c>
      <c r="D7" s="61" t="s">
        <v>59</v>
      </c>
      <c r="E7" s="61" t="s">
        <v>60</v>
      </c>
      <c r="F7" s="61" t="s">
        <v>61</v>
      </c>
      <c r="G7" s="61" t="s">
        <v>40</v>
      </c>
      <c r="H7" s="61" t="s">
        <v>36</v>
      </c>
      <c r="I7" s="61" t="s">
        <v>62</v>
      </c>
      <c r="J7" s="61" t="s">
        <v>63</v>
      </c>
      <c r="K7" s="61" t="str">
        <f>TRIM(_xlfn.TEXTJOIN(CHAR(9),TRUE,A7:J7))</f>
        <v>#section	OrthotropicMembraneSection	$secTag	$E1	$E2	$ni	$G	$h	$rho	$angle</v>
      </c>
    </row>
    <row r="8" spans="1:11" x14ac:dyDescent="0.3">
      <c r="A8" s="66" t="s">
        <v>57</v>
      </c>
      <c r="B8" s="66" t="s">
        <v>58</v>
      </c>
      <c r="C8" s="66">
        <v>1</v>
      </c>
      <c r="D8" s="40">
        <f ca="1">_xlfn.XLOOKUP(C8,'P_Vaults above GF'!$A$8:$A$23,'P_Vaults above GF'!$AF$8:$AF$23)</f>
        <v>1754568316.9848688</v>
      </c>
      <c r="E8" s="40">
        <f ca="1">_xlfn.XLOOKUP(C8,'P_Vaults above GF'!$A$8:$A$23,'P_Vaults above GF'!$AG$8:$AG$23)</f>
        <v>309154.10164914379</v>
      </c>
      <c r="F8" s="67">
        <f>'B_Material properties'!$F$11</f>
        <v>0.2</v>
      </c>
      <c r="G8" s="40">
        <f ca="1">_xlfn.XLOOKUP(C8,'P_Vaults above GF'!$A$8:$A$23,'P_Vaults above GF'!$AH$8:$AH$23)</f>
        <v>135768162.87445676</v>
      </c>
      <c r="H8" s="67">
        <v>0.15</v>
      </c>
      <c r="I8" s="70">
        <v>0</v>
      </c>
      <c r="J8" s="66">
        <v>0</v>
      </c>
      <c r="K8" s="66" t="str" cm="1">
        <f t="array" aca="1" ref="K8" ca="1">TRIM(_xlfn.TEXTJOIN(CHAR(9),TRUE,A8:C8, TEXT(ROUND(D8:E8,0),"0"),TEXT(ROUND(F8,2),"0.00"),TEXT(ROUND(G8,0),"0"),TEXT(ROUND(H8:I8,2),"0.00"),J8))</f>
        <v>section	OrthotropicMembraneSection	1	1754568317	309154	0.20	135768163	0.15	0.00	0</v>
      </c>
    </row>
    <row r="9" spans="1:11" x14ac:dyDescent="0.3">
      <c r="A9" s="66" t="s">
        <v>57</v>
      </c>
      <c r="B9" s="66" t="s">
        <v>58</v>
      </c>
      <c r="C9" s="66">
        <v>2</v>
      </c>
      <c r="D9" s="40">
        <f ca="1">_xlfn.XLOOKUP(C9,'P_Vaults above GF'!$A$8:$A$23,'P_Vaults above GF'!$AG$8:$AG$23)</f>
        <v>309154.10164914379</v>
      </c>
      <c r="E9" s="40">
        <f ca="1">_xlfn.XLOOKUP(C9,'P_Vaults above GF'!$A$8:$A$23,'P_Vaults above GF'!$AF$8:$AF$23)</f>
        <v>1754568316.9848688</v>
      </c>
      <c r="F9" s="67">
        <f>'B_Material properties'!$F$11</f>
        <v>0.2</v>
      </c>
      <c r="G9" s="40">
        <f ca="1">_xlfn.XLOOKUP(C9,'P_Vaults above GF'!$A$8:$A$23,'P_Vaults above GF'!$AH$8:$AH$23)</f>
        <v>135768162.87445676</v>
      </c>
      <c r="H9" s="67">
        <v>0.15</v>
      </c>
      <c r="I9" s="65">
        <v>0</v>
      </c>
      <c r="J9" s="66">
        <v>0</v>
      </c>
      <c r="K9" s="66" t="str" cm="1">
        <f t="array" aca="1" ref="K9" ca="1">TRIM(_xlfn.TEXTJOIN(CHAR(9),TRUE,A9:C9, TEXT(ROUND(D9:E9,0),"0"),TEXT(ROUND(F9,2),"0.00"),TEXT(ROUND(G9,0),"0"),TEXT(ROUND(H9:I9,2),"0.00"),J9))</f>
        <v>section	OrthotropicMembraneSection	2	309154	1754568317	0.20	135768163	0.15	0.00	0</v>
      </c>
    </row>
    <row r="10" spans="1:11" x14ac:dyDescent="0.3">
      <c r="A10" s="66" t="s">
        <v>57</v>
      </c>
      <c r="B10" s="66" t="s">
        <v>58</v>
      </c>
      <c r="C10" s="66">
        <v>3</v>
      </c>
      <c r="D10" s="40">
        <f ca="1">_xlfn.XLOOKUP(C10,'P_Vaults above GF'!$A$8:$A$23,'P_Vaults above GF'!$AG$8:$AG$23)</f>
        <v>309154.10164914379</v>
      </c>
      <c r="E10" s="40">
        <f ca="1">_xlfn.XLOOKUP(C10,'P_Vaults above GF'!$A$8:$A$23,'P_Vaults above GF'!$AF$8:$AF$23)</f>
        <v>1754568316.9848688</v>
      </c>
      <c r="F10" s="67">
        <f>'B_Material properties'!$F$11</f>
        <v>0.2</v>
      </c>
      <c r="G10" s="40">
        <f ca="1">_xlfn.XLOOKUP(C10,'P_Vaults above GF'!$A$8:$A$23,'P_Vaults above GF'!$AH$8:$AH$23)</f>
        <v>135768162.87445676</v>
      </c>
      <c r="H10" s="67">
        <v>0.15</v>
      </c>
      <c r="I10" s="65">
        <v>0</v>
      </c>
      <c r="J10" s="66">
        <v>0</v>
      </c>
      <c r="K10" s="66" t="str" cm="1">
        <f t="array" aca="1" ref="K10" ca="1">TRIM(_xlfn.TEXTJOIN(CHAR(9),TRUE,A10:C10, TEXT(ROUND(D10:E10,0),"0"),TEXT(ROUND(F10,2),"0.00"),TEXT(ROUND(G10,0),"0"),TEXT(ROUND(H10:I10,2),"0.00"),J10))</f>
        <v>section	OrthotropicMembraneSection	3	309154	1754568317	0.20	135768163	0.15	0.00	0</v>
      </c>
    </row>
    <row r="11" spans="1:11" x14ac:dyDescent="0.3">
      <c r="A11" s="66" t="s">
        <v>57</v>
      </c>
      <c r="B11" s="66" t="s">
        <v>58</v>
      </c>
      <c r="C11" s="66">
        <v>4</v>
      </c>
      <c r="D11" s="40">
        <f ca="1">_xlfn.XLOOKUP(C11,'P_Vaults above GF'!$A$8:$A$23,'P_Vaults above GF'!$AG$8:$AG$23)</f>
        <v>309154.10164914379</v>
      </c>
      <c r="E11" s="40">
        <f ca="1">_xlfn.XLOOKUP(C11,'P_Vaults above GF'!$A$8:$A$23,'P_Vaults above GF'!$AF$8:$AF$23)</f>
        <v>1754568316.9848688</v>
      </c>
      <c r="F11" s="67">
        <f>'B_Material properties'!$F$11</f>
        <v>0.2</v>
      </c>
      <c r="G11" s="40">
        <f ca="1">_xlfn.XLOOKUP(C11,'P_Vaults above GF'!$A$8:$A$23,'P_Vaults above GF'!$AH$8:$AH$23)</f>
        <v>135768162.87445676</v>
      </c>
      <c r="H11" s="67">
        <v>0.15</v>
      </c>
      <c r="I11" s="65">
        <v>0</v>
      </c>
      <c r="J11" s="66">
        <v>0</v>
      </c>
      <c r="K11" s="66" t="str" cm="1">
        <f t="array" aca="1" ref="K11" ca="1">TRIM(_xlfn.TEXTJOIN(CHAR(9),TRUE,A11:C11, TEXT(ROUND(D11:E11,0),"0"),TEXT(ROUND(F11,2),"0.00"),TEXT(ROUND(G11,0),"0"),TEXT(ROUND(H11:I11,2),"0.00"),J11))</f>
        <v>section	OrthotropicMembraneSection	4	309154	1754568317	0.20	135768163	0.15	0.00	0</v>
      </c>
    </row>
    <row r="12" spans="1:11" x14ac:dyDescent="0.3">
      <c r="A12" s="66" t="s">
        <v>57</v>
      </c>
      <c r="B12" s="66" t="s">
        <v>58</v>
      </c>
      <c r="C12" s="66">
        <v>5</v>
      </c>
      <c r="D12" s="40">
        <f ca="1">_xlfn.XLOOKUP(C12,'P_Vaults above GF'!$A$8:$A$23,'P_Vaults above GF'!$AG$8:$AG$23)</f>
        <v>1803534971.7398918</v>
      </c>
      <c r="E12" s="40">
        <f ca="1">_xlfn.XLOOKUP(C12,'P_Vaults above GF'!$A$8:$A$23,'P_Vaults above GF'!$AF$8:$AF$23)</f>
        <v>456996.75574595266</v>
      </c>
      <c r="F12" s="67">
        <f>'B_Material properties'!$F$11</f>
        <v>0.2</v>
      </c>
      <c r="G12" s="40">
        <f ca="1">_xlfn.XLOOKUP(C12,'P_Vaults above GF'!$A$8:$A$23,'P_Vaults above GF'!$AH$8:$AH$23)</f>
        <v>351620872.24773031</v>
      </c>
      <c r="H12" s="67">
        <v>0.15</v>
      </c>
      <c r="I12" s="65">
        <v>0</v>
      </c>
      <c r="J12" s="66">
        <v>0</v>
      </c>
      <c r="K12" s="66" t="str" cm="1">
        <f t="array" aca="1" ref="K12" ca="1">TRIM(_xlfn.TEXTJOIN(CHAR(9),TRUE,A12:C12, TEXT(ROUND(D12:E12,0),"0"),TEXT(ROUND(F12,2),"0.00"),TEXT(ROUND(G12,0),"0"),TEXT(ROUND(H12:I12,2),"0.00"),J12))</f>
        <v>section	OrthotropicMembraneSection	5	1803534972	456997	0.20	351620872	0.15	0.00	0</v>
      </c>
    </row>
    <row r="13" spans="1:11" x14ac:dyDescent="0.3">
      <c r="A13" s="66" t="s">
        <v>57</v>
      </c>
      <c r="B13" s="66" t="s">
        <v>58</v>
      </c>
      <c r="C13" s="66">
        <v>6</v>
      </c>
      <c r="D13" s="40">
        <f>_xlfn.XLOOKUP(C13,'P_Vaults above GF'!$A$8:$A$23,'P_Vaults above GF'!$AG$8:$AG$23)</f>
        <v>975017078.19132566</v>
      </c>
      <c r="E13" s="40">
        <f ca="1">_xlfn.XLOOKUP(C13,'P_Vaults above GF'!$A$8:$A$23,'P_Vaults above GF'!$AF$8:$AF$23)</f>
        <v>959396995.90753078</v>
      </c>
      <c r="F13" s="67">
        <f>'B_Material properties'!$F$11</f>
        <v>0.2</v>
      </c>
      <c r="G13" s="40">
        <f ca="1">_xlfn.XLOOKUP(C13,'P_Vaults above GF'!$A$8:$A$23,'P_Vaults above GF'!$AH$8:$AH$23)</f>
        <v>409235621.14603913</v>
      </c>
      <c r="H13" s="67">
        <v>0.15</v>
      </c>
      <c r="I13" s="65">
        <v>0</v>
      </c>
      <c r="J13" s="66">
        <v>0</v>
      </c>
      <c r="K13" s="66" t="str" cm="1">
        <f t="array" aca="1" ref="K13" ca="1">TRIM(_xlfn.TEXTJOIN(CHAR(9),TRUE,A13:C13, TEXT(ROUND(D13:E13,0),"0"),TEXT(ROUND(F13,2),"0.00"),TEXT(ROUND(G13,0),"0"),TEXT(ROUND(H13:I13,2),"0.00"),J13))</f>
        <v>section	OrthotropicMembraneSection	6	975017078	959396996	0.20	409235621	0.15	0.00	0</v>
      </c>
    </row>
    <row r="14" spans="1:11" x14ac:dyDescent="0.3">
      <c r="A14" s="66" t="s">
        <v>57</v>
      </c>
      <c r="B14" s="66" t="s">
        <v>58</v>
      </c>
      <c r="C14" s="66">
        <v>7</v>
      </c>
      <c r="D14" s="40">
        <f>_xlfn.XLOOKUP(C14,'P_Vaults above GF'!$A$8:$A$23,'P_Vaults above GF'!$AG$8:$AG$23)</f>
        <v>1500000000</v>
      </c>
      <c r="E14" s="40">
        <f ca="1">_xlfn.XLOOKUP(C14,'P_Vaults above GF'!$A$8:$A$23,'P_Vaults above GF'!$AF$8:$AF$23)</f>
        <v>861183694.93502688</v>
      </c>
      <c r="F14" s="67">
        <f>'B_Material properties'!$F$11</f>
        <v>0.2</v>
      </c>
      <c r="G14" s="40">
        <f ca="1">_xlfn.XLOOKUP(C14,'P_Vaults above GF'!$A$8:$A$23,'P_Vaults above GF'!$AH$8:$AH$23)</f>
        <v>336823496</v>
      </c>
      <c r="H14" s="67">
        <v>0.15</v>
      </c>
      <c r="I14" s="65">
        <v>0</v>
      </c>
      <c r="J14" s="66">
        <v>0</v>
      </c>
      <c r="K14" s="66" t="str" cm="1">
        <f t="array" aca="1" ref="K14" ca="1">TRIM(_xlfn.TEXTJOIN(CHAR(9),TRUE,A14:C14, TEXT(ROUND(D14:E14,0),"0"),TEXT(ROUND(F14,2),"0.00"),TEXT(ROUND(G14,0),"0"),TEXT(ROUND(H14:I14,2),"0.00"),J14))</f>
        <v>section	OrthotropicMembraneSection	7	1500000000	861183695	0.20	336823496	0.15	0.00	0</v>
      </c>
    </row>
    <row r="15" spans="1:11" x14ac:dyDescent="0.3">
      <c r="A15" s="66" t="s">
        <v>57</v>
      </c>
      <c r="B15" s="66" t="s">
        <v>58</v>
      </c>
      <c r="C15" s="66">
        <v>8</v>
      </c>
      <c r="D15" s="40">
        <f ca="1">_xlfn.XLOOKUP(C15,'P_Vaults above GF'!$A$8:$A$23,'P_Vaults above GF'!$AG$8:$AG$23)</f>
        <v>1804744715.8920076</v>
      </c>
      <c r="E15" s="40">
        <f ca="1">_xlfn.XLOOKUP(C15,'P_Vaults above GF'!$A$8:$A$23,'P_Vaults above GF'!$AF$8:$AF$23)</f>
        <v>460639.61156666197</v>
      </c>
      <c r="F15" s="67">
        <f>'B_Material properties'!$F$11</f>
        <v>0.2</v>
      </c>
      <c r="G15" s="40">
        <f ca="1">_xlfn.XLOOKUP(C15,'P_Vaults above GF'!$A$8:$A$23,'P_Vaults above GF'!$AH$8:$AH$23)</f>
        <v>351229786.11166179</v>
      </c>
      <c r="H15" s="67">
        <v>0.15</v>
      </c>
      <c r="I15" s="65">
        <v>0</v>
      </c>
      <c r="J15" s="66">
        <v>0</v>
      </c>
      <c r="K15" s="66" t="str" cm="1">
        <f t="array" aca="1" ref="K15" ca="1">TRIM(_xlfn.TEXTJOIN(CHAR(9),TRUE,A15:C15, TEXT(ROUND(D15:E15,0),"0"),TEXT(ROUND(F15,2),"0.00"),TEXT(ROUND(G15,0),"0"),TEXT(ROUND(H15:I15,2),"0.00"),J15))</f>
        <v>section	OrthotropicMembraneSection	8	1804744716	460640	0.20	351229786	0.15	0.00	0</v>
      </c>
    </row>
    <row r="16" spans="1:11" x14ac:dyDescent="0.3">
      <c r="A16" s="66" t="s">
        <v>57</v>
      </c>
      <c r="B16" s="66" t="s">
        <v>58</v>
      </c>
      <c r="C16" s="66">
        <v>9</v>
      </c>
      <c r="D16" s="40">
        <f ca="1">_xlfn.XLOOKUP(C16,'P_Vaults above GF'!$A$8:$A$23,'P_Vaults above GF'!$AG$8:$AG$23)</f>
        <v>1675884813.4466674</v>
      </c>
      <c r="E16" s="40">
        <f ca="1">_xlfn.XLOOKUP(C16,'P_Vaults above GF'!$A$8:$A$23,'P_Vaults above GF'!$AF$8:$AF$23)</f>
        <v>2342462.8003618787</v>
      </c>
      <c r="F16" s="67">
        <f>'B_Material properties'!$F$11</f>
        <v>0.2</v>
      </c>
      <c r="G16" s="40">
        <f ca="1">_xlfn.XLOOKUP(C16,'P_Vaults above GF'!$A$8:$A$23,'P_Vaults above GF'!$AH$8:$AH$23)</f>
        <v>443483475.5008927</v>
      </c>
      <c r="H16" s="67">
        <v>0.15</v>
      </c>
      <c r="I16" s="65">
        <v>0</v>
      </c>
      <c r="J16" s="66">
        <v>0</v>
      </c>
      <c r="K16" s="66" t="str" cm="1">
        <f t="array" aca="1" ref="K16" ca="1">TRIM(_xlfn.TEXTJOIN(CHAR(9),TRUE,A16:C16, TEXT(ROUND(D16:E16,0),"0"),TEXT(ROUND(F16,2),"0.00"),TEXT(ROUND(G16,0),"0"),TEXT(ROUND(H16:I16,2),"0.00"),J16))</f>
        <v>section	OrthotropicMembraneSection	9	1675884813	2342463	0.20	443483476	0.15	0.00	0</v>
      </c>
    </row>
    <row r="17" spans="1:11" x14ac:dyDescent="0.3">
      <c r="A17" s="66" t="s">
        <v>57</v>
      </c>
      <c r="B17" s="66" t="s">
        <v>58</v>
      </c>
      <c r="C17" s="66">
        <v>10</v>
      </c>
      <c r="D17" s="40">
        <f ca="1">_xlfn.XLOOKUP(C17,'P_Vaults above GF'!$A$8:$A$23,'P_Vaults above GF'!$AG$8:$AG$23)</f>
        <v>1696460032.9384882</v>
      </c>
      <c r="E17" s="40">
        <f ca="1">_xlfn.XLOOKUP(C17,'P_Vaults above GF'!$A$8:$A$23,'P_Vaults above GF'!$AF$8:$AF$23)</f>
        <v>861183694.93502688</v>
      </c>
      <c r="F17" s="67">
        <f>'B_Material properties'!$F$11</f>
        <v>0.2</v>
      </c>
      <c r="G17" s="40">
        <f ca="1">_xlfn.XLOOKUP(C17,'P_Vaults above GF'!$A$8:$A$23,'P_Vaults above GF'!$AH$8:$AH$23)</f>
        <v>335391416.13729823</v>
      </c>
      <c r="H17" s="67">
        <v>0.15</v>
      </c>
      <c r="I17" s="65">
        <v>0</v>
      </c>
      <c r="J17" s="66">
        <v>0</v>
      </c>
      <c r="K17" s="66" t="str" cm="1">
        <f t="array" aca="1" ref="K17" ca="1">TRIM(_xlfn.TEXTJOIN(CHAR(9),TRUE,A17:C17, TEXT(ROUND(D17:E17,0),"0"),TEXT(ROUND(F17,2),"0.00"),TEXT(ROUND(G17,0),"0"),TEXT(ROUND(H17:I17,2),"0.00"),J17))</f>
        <v>section	OrthotropicMembraneSection	10	1696460033	861183695	0.20	335391416	0.15	0.00	0</v>
      </c>
    </row>
    <row r="18" spans="1:11" x14ac:dyDescent="0.3">
      <c r="A18" s="66" t="s">
        <v>57</v>
      </c>
      <c r="B18" s="66" t="s">
        <v>58</v>
      </c>
      <c r="C18" s="66">
        <v>11</v>
      </c>
      <c r="D18" s="40">
        <f ca="1">_xlfn.XLOOKUP(C18,'P_Vaults above GF'!$A$8:$A$23,'P_Vaults above GF'!$AG$8:$AG$23)</f>
        <v>869434314.30114734</v>
      </c>
      <c r="E18" s="40">
        <f ca="1">_xlfn.XLOOKUP(C18,'P_Vaults above GF'!$A$8:$A$23,'P_Vaults above GF'!$AF$8:$AF$23)</f>
        <v>864123379.0807904</v>
      </c>
      <c r="F18" s="67">
        <f>'B_Material properties'!$F$11</f>
        <v>0.2</v>
      </c>
      <c r="G18" s="40">
        <f ca="1">_xlfn.XLOOKUP(C18,'P_Vaults above GF'!$A$8:$A$23,'P_Vaults above GF'!$AH$8:$AH$23)</f>
        <v>330234631.41596752</v>
      </c>
      <c r="H18" s="67">
        <v>0.15</v>
      </c>
      <c r="I18" s="65">
        <v>0</v>
      </c>
      <c r="J18" s="66">
        <v>0</v>
      </c>
      <c r="K18" s="66" t="str" cm="1">
        <f t="array" aca="1" ref="K18" ca="1">TRIM(_xlfn.TEXTJOIN(CHAR(9),TRUE,A18:C18, TEXT(ROUND(D18:E18,0),"0"),TEXT(ROUND(F18,2),"0.00"),TEXT(ROUND(G18,0),"0"),TEXT(ROUND(H18:I18,2),"0.00"),J18))</f>
        <v>section	OrthotropicMembraneSection	11	869434314	864123379	0.20	330234631	0.15	0.00	0</v>
      </c>
    </row>
    <row r="19" spans="1:11" x14ac:dyDescent="0.3">
      <c r="A19" s="66" t="s">
        <v>57</v>
      </c>
      <c r="B19" s="66" t="s">
        <v>58</v>
      </c>
      <c r="C19" s="66">
        <v>12</v>
      </c>
      <c r="D19" s="40">
        <f ca="1">_xlfn.XLOOKUP(C19,'P_Vaults above GF'!$A$8:$A$23,'P_Vaults above GF'!$AG$8:$AG$23)</f>
        <v>869434314.30114734</v>
      </c>
      <c r="E19" s="40">
        <f ca="1">_xlfn.XLOOKUP(C19,'P_Vaults above GF'!$A$8:$A$23,'P_Vaults above GF'!$AF$8:$AF$23)</f>
        <v>863563118.96876681</v>
      </c>
      <c r="F19" s="67">
        <f>'B_Material properties'!$F$11</f>
        <v>0.2</v>
      </c>
      <c r="G19" s="40">
        <f ca="1">_xlfn.XLOOKUP(C19,'P_Vaults above GF'!$A$8:$A$23,'P_Vaults above GF'!$AH$8:$AH$23)</f>
        <v>330234631.41596752</v>
      </c>
      <c r="H19" s="67">
        <v>0.15</v>
      </c>
      <c r="I19" s="65">
        <v>0</v>
      </c>
      <c r="J19" s="66">
        <v>0</v>
      </c>
      <c r="K19" s="66" t="str" cm="1">
        <f t="array" aca="1" ref="K19" ca="1">TRIM(_xlfn.TEXTJOIN(CHAR(9),TRUE,A19:C19, TEXT(ROUND(D19:E19,0),"0"),TEXT(ROUND(F19,2),"0.00"),TEXT(ROUND(G19,0),"0"),TEXT(ROUND(H19:I19,2),"0.00"),J19))</f>
        <v>section	OrthotropicMembraneSection	12	869434314	863563119	0.20	330234631	0.15	0.00	0</v>
      </c>
    </row>
    <row r="20" spans="1:11" x14ac:dyDescent="0.3">
      <c r="A20" s="66" t="s">
        <v>57</v>
      </c>
      <c r="B20" s="66" t="s">
        <v>58</v>
      </c>
      <c r="C20" s="66">
        <v>13</v>
      </c>
      <c r="D20" s="40">
        <f ca="1">_xlfn.XLOOKUP(C20,'P_Vaults above GF'!$A$8:$A$23,'P_Vaults above GF'!$AG$8:$AG$23)</f>
        <v>875537140.01320875</v>
      </c>
      <c r="E20" s="40">
        <f ca="1">_xlfn.XLOOKUP(C20,'P_Vaults above GF'!$A$8:$A$23,'P_Vaults above GF'!$AF$8:$AF$23)</f>
        <v>861183694.93502688</v>
      </c>
      <c r="F20" s="67">
        <f>'B_Material properties'!$F$11</f>
        <v>0.2</v>
      </c>
      <c r="G20" s="40">
        <f ca="1">_xlfn.XLOOKUP(C20,'P_Vaults above GF'!$A$8:$A$23,'P_Vaults above GF'!$AH$8:$AH$23)</f>
        <v>325375608.15050578</v>
      </c>
      <c r="H20" s="67">
        <v>0.15</v>
      </c>
      <c r="I20" s="65">
        <v>0</v>
      </c>
      <c r="J20" s="66">
        <v>0</v>
      </c>
      <c r="K20" s="66" t="str" cm="1">
        <f t="array" aca="1" ref="K20" ca="1">TRIM(_xlfn.TEXTJOIN(CHAR(9),TRUE,A20:C20, TEXT(ROUND(D20:E20,0),"0"),TEXT(ROUND(F20,2),"0.00"),TEXT(ROUND(G20,0),"0"),TEXT(ROUND(H20:I20,2),"0.00"),J20))</f>
        <v>section	OrthotropicMembraneSection	13	875537140	861183695	0.20	325375608	0.15	0.00	0</v>
      </c>
    </row>
    <row r="21" spans="1:11" x14ac:dyDescent="0.3">
      <c r="A21" s="66" t="s">
        <v>57</v>
      </c>
      <c r="B21" s="66" t="s">
        <v>58</v>
      </c>
      <c r="C21" s="66">
        <v>14</v>
      </c>
      <c r="D21" s="40">
        <f>_xlfn.XLOOKUP(C21,'P_Vaults above GF'!$A$8:$A$23,'P_Vaults above GF'!$AG$8:$AG$23)</f>
        <v>2438581.0750094107</v>
      </c>
      <c r="E21" s="40">
        <f>_xlfn.XLOOKUP(C21,'P_Vaults above GF'!$A$8:$A$23,'P_Vaults above GF'!$AF$8:$AF$23)</f>
        <v>1563096344.8008041</v>
      </c>
      <c r="F21" s="67">
        <f>'B_Material properties'!$F$11</f>
        <v>0.2</v>
      </c>
      <c r="G21" s="40">
        <f>_xlfn.XLOOKUP(C21,'P_Vaults above GF'!$A$8:$A$23,'P_Vaults above GF'!$AH$8:$AH$23)</f>
        <v>664824665.72685707</v>
      </c>
      <c r="H21" s="67">
        <v>0.15</v>
      </c>
      <c r="I21" s="65">
        <v>0</v>
      </c>
      <c r="J21" s="66">
        <v>0</v>
      </c>
      <c r="K21" s="66" t="str" cm="1">
        <f t="array" ref="K21">TRIM(_xlfn.TEXTJOIN(CHAR(9),TRUE,A21:C21, TEXT(ROUND(D21:E21,0),"0"),TEXT(ROUND(F21,2),"0.00"),TEXT(ROUND(G21,0),"0"),TEXT(ROUND(H21:I21,2),"0.00"),J21))</f>
        <v>section	OrthotropicMembraneSection	14	2438581	1563096345	0.20	664824666	0.15	0.00	0</v>
      </c>
    </row>
    <row r="22" spans="1:11" x14ac:dyDescent="0.3">
      <c r="A22" s="66" t="s">
        <v>57</v>
      </c>
      <c r="B22" s="66" t="s">
        <v>58</v>
      </c>
      <c r="C22" s="66">
        <v>20</v>
      </c>
      <c r="D22" s="40">
        <f ca="1">_xlfn.XLOOKUP(C22,'P_Vaults above GF'!$A$8:$A$23,'P_Vaults above GF'!$AG$8:$AG$23)</f>
        <v>975017078.19132566</v>
      </c>
      <c r="E22" s="40">
        <f ca="1">_xlfn.XLOOKUP(C22,'P_Vaults above GF'!$A$8:$A$23,'P_Vaults above GF'!$AF$8:$AF$23)</f>
        <v>958326985.64441144</v>
      </c>
      <c r="F22" s="67">
        <f>'B_Material properties'!$F$11</f>
        <v>0.2</v>
      </c>
      <c r="G22" s="40">
        <f ca="1">_xlfn.XLOOKUP(C22,'P_Vaults above GF'!$A$8:$A$23,'P_Vaults above GF'!$AH$8:$AH$23)</f>
        <v>408346783.28996181</v>
      </c>
      <c r="H22" s="67">
        <v>0.15</v>
      </c>
      <c r="I22" s="65">
        <v>0</v>
      </c>
      <c r="J22" s="66">
        <v>0</v>
      </c>
      <c r="K22" s="66" t="str" cm="1">
        <f t="array" aca="1" ref="K22" ca="1">TRIM(_xlfn.TEXTJOIN(CHAR(9),TRUE,A22:C22, TEXT(ROUND(D22:E22,0),"0"),TEXT(ROUND(F22,2),"0.00"),TEXT(ROUND(G22,0),"0"),TEXT(ROUND(H22:I22,2),"0.00"),J22))</f>
        <v>section	OrthotropicMembraneSection	20	975017078	958326986	0.20	408346783	0.15	0.00	0</v>
      </c>
    </row>
    <row r="23" spans="1:11" x14ac:dyDescent="0.3">
      <c r="A23" s="66" t="s">
        <v>57</v>
      </c>
      <c r="B23" s="66" t="s">
        <v>58</v>
      </c>
      <c r="C23" s="66">
        <v>23</v>
      </c>
      <c r="D23" s="40">
        <f ca="1">_xlfn.XLOOKUP(C23,'P_Vaults above GF'!$A$8:$A$23,'P_Vaults above GF'!$AG$8:$AG$23)</f>
        <v>960258848.63977301</v>
      </c>
      <c r="E23" s="40">
        <f ca="1">_xlfn.XLOOKUP(C23,'P_Vaults above GF'!$A$8:$A$23,'P_Vaults above GF'!$AF$8:$AF$23)</f>
        <v>958326985.64441144</v>
      </c>
      <c r="F23" s="67">
        <f>'B_Material properties'!$F$11</f>
        <v>0.2</v>
      </c>
      <c r="G23" s="40">
        <f ca="1">_xlfn.XLOOKUP(C23,'P_Vaults above GF'!$A$8:$A$23,'P_Vaults above GF'!$AH$8:$AH$23)</f>
        <v>408346783.28996181</v>
      </c>
      <c r="H23" s="67">
        <v>0.15</v>
      </c>
      <c r="I23" s="65">
        <v>0</v>
      </c>
      <c r="J23" s="66">
        <v>0</v>
      </c>
      <c r="K23" s="66" t="str" cm="1">
        <f t="array" aca="1" ref="K23" ca="1">TRIM(_xlfn.TEXTJOIN(CHAR(9),TRUE,A23:C23, TEXT(ROUND(D23:E23,0),"0"),TEXT(ROUND(F23,2),"0.00"),TEXT(ROUND(G23,0),"0"),TEXT(ROUND(H23:I23,2),"0.00"),J23))</f>
        <v>section	OrthotropicMembraneSection	23	960258849	958326986	0.20	408346783	0.15	0.00	0</v>
      </c>
    </row>
    <row r="24" spans="1:11" x14ac:dyDescent="0.3">
      <c r="A24" s="66" t="s">
        <v>57</v>
      </c>
      <c r="B24" s="66" t="s">
        <v>58</v>
      </c>
      <c r="C24" s="66">
        <v>30</v>
      </c>
      <c r="D24" s="40">
        <f>'B_Material properties'!$E$20</f>
        <v>30000000000</v>
      </c>
      <c r="E24" s="40">
        <f>'B_Material properties'!$E$20</f>
        <v>30000000000</v>
      </c>
      <c r="F24" s="67">
        <f>'B_Material properties'!$E$22</f>
        <v>0.2</v>
      </c>
      <c r="G24" s="40">
        <f>'B_Material properties'!$E$21</f>
        <v>12500000000</v>
      </c>
      <c r="H24" s="67">
        <v>0.1</v>
      </c>
      <c r="I24" s="65">
        <v>0</v>
      </c>
      <c r="J24" s="66">
        <v>0</v>
      </c>
      <c r="K24" s="66" t="str" cm="1">
        <f t="array" ref="K24">TRIM(_xlfn.TEXTJOIN(CHAR(9),TRUE,A24:C24, TEXT(ROUND(D24:E24,0),"0"),TEXT(ROUND(F24,2),"0.00"),TEXT(ROUND(G24,0),"0"),TEXT(ROUND(H24:I24,2),"0.00"),J24))</f>
        <v>section	OrthotropicMembraneSection	30	30000000000	30000000000	0.20	12500000000	0.10	0.00	0</v>
      </c>
    </row>
    <row r="25" spans="1:11" x14ac:dyDescent="0.3">
      <c r="A25" t="s">
        <v>427</v>
      </c>
      <c r="F25" s="1"/>
    </row>
    <row r="27" spans="1:11" s="61" customFormat="1" x14ac:dyDescent="0.3">
      <c r="A27" s="61" t="s">
        <v>237</v>
      </c>
      <c r="B27" s="61" t="s">
        <v>356</v>
      </c>
      <c r="C27" s="61" t="s">
        <v>56</v>
      </c>
      <c r="D27" s="61" t="s">
        <v>39</v>
      </c>
      <c r="E27" s="61" t="s">
        <v>264</v>
      </c>
      <c r="F27" s="61" t="s">
        <v>267</v>
      </c>
      <c r="G27" s="61" t="s">
        <v>266</v>
      </c>
      <c r="H27" s="61" t="s">
        <v>40</v>
      </c>
      <c r="I27" s="61" t="s">
        <v>265</v>
      </c>
      <c r="K27" s="61" t="str">
        <f>TRIM(_xlfn.TEXTJOIN(CHAR(9),TRUE,A27:J27))</f>
        <v>#section	Elastic	$secTag	$E	$A	$Iz	$Iy	$G	$J</v>
      </c>
    </row>
    <row r="28" spans="1:11" x14ac:dyDescent="0.3">
      <c r="A28" s="66" t="s">
        <v>57</v>
      </c>
      <c r="B28" s="66" t="s">
        <v>356</v>
      </c>
      <c r="C28" s="66">
        <v>100</v>
      </c>
      <c r="D28" s="40">
        <v>30000000000</v>
      </c>
      <c r="E28" s="66">
        <v>0.15</v>
      </c>
      <c r="F28" s="66">
        <v>1.1249999999999999E-3</v>
      </c>
      <c r="G28" s="66">
        <v>3.1250000000000002E-3</v>
      </c>
      <c r="H28" s="40">
        <v>2500000000</v>
      </c>
      <c r="I28" s="71">
        <v>4.2500000000000003E-3</v>
      </c>
      <c r="J28" s="61"/>
      <c r="K28" s="66" t="str" cm="1">
        <f t="array" ref="K28">TRIM(_xlfn.TEXTJOIN(CHAR(9),TRUE,A28:C28,TEXT(ROUND(D28,0),"0"),TEXT(ROUND(E28,2),"0.00"),TEXT(ROUND(F28:G28,6),"0.000000"),TEXT(ROUND(H28,0),"0"),TEXT(ROUND(I28,6),"0.000000")))</f>
        <v>section	Elastic	100	30000000000	0.15	0.001125	0.003125	2500000000	0.004250</v>
      </c>
    </row>
    <row r="29" spans="1:11" x14ac:dyDescent="0.3">
      <c r="A29" s="66" t="s">
        <v>57</v>
      </c>
      <c r="B29" s="66" t="s">
        <v>356</v>
      </c>
      <c r="C29" s="66">
        <v>200</v>
      </c>
      <c r="D29" s="40">
        <f>'B_Material properties'!F9</f>
        <v>1500000000</v>
      </c>
      <c r="E29" s="66">
        <f>1.15*0.6</f>
        <v>0.69</v>
      </c>
      <c r="F29" s="71">
        <f>0.6*1.15^3/12</f>
        <v>7.6043749999999979E-2</v>
      </c>
      <c r="G29" s="71">
        <f>1.15*0.6^3/12</f>
        <v>2.07E-2</v>
      </c>
      <c r="H29" s="40">
        <f>'B_Material properties'!F10</f>
        <v>500000000</v>
      </c>
      <c r="I29" s="71">
        <f>0.6*1.15*(0.6^2+1.15^2)/12</f>
        <v>9.6743749999999976E-2</v>
      </c>
      <c r="J29" s="61"/>
      <c r="K29" s="66" t="str" cm="1">
        <f t="array" ref="K29">TRIM(_xlfn.TEXTJOIN(CHAR(9),TRUE,A29:C29,TEXT(ROUND(D29,0),"0"),TEXT(ROUND(E29,2),"0.00"),TEXT(ROUND(F29:G29,6),"0.000000"),TEXT(ROUND(H29,0),"0"),TEXT(ROUND(I29,6),"0.000000")))</f>
        <v>section	Elastic	200	1500000000	0.69	0.076044	0.020700	500000000	0.096744</v>
      </c>
    </row>
    <row r="30" spans="1:11" x14ac:dyDescent="0.3">
      <c r="A30" s="66" t="s">
        <v>57</v>
      </c>
      <c r="B30" s="66" t="s">
        <v>356</v>
      </c>
      <c r="C30" s="66">
        <v>300</v>
      </c>
      <c r="D30" s="40">
        <f>'B_Material properties'!F9</f>
        <v>1500000000</v>
      </c>
      <c r="E30" s="66">
        <f>1.15*0.4</f>
        <v>0.45999999999999996</v>
      </c>
      <c r="F30" s="71">
        <f>0.4*1.15^3/12</f>
        <v>5.0695833333333322E-2</v>
      </c>
      <c r="G30" s="71">
        <f>1.15*0.4^3/12</f>
        <v>6.1333333333333344E-3</v>
      </c>
      <c r="H30" s="40">
        <f>'B_Material properties'!F10</f>
        <v>500000000</v>
      </c>
      <c r="I30" s="71">
        <f>0.4*1.15*(0.4^2+1.15^2)/12</f>
        <v>5.682916666666666E-2</v>
      </c>
      <c r="J30" s="61"/>
      <c r="K30" s="66" t="str" cm="1">
        <f t="array" ref="K30">TRIM(_xlfn.TEXTJOIN(CHAR(9),TRUE,A30:C30,TEXT(ROUND(D30,0),"0"),TEXT(ROUND(E30,2),"0.00"),TEXT(ROUND(F30:G30,6),"0.000000"),TEXT(ROUND(H30,0),"0"),TEXT(ROUND(I30,6),"0.000000")))</f>
        <v>section	Elastic	300	1500000000	0.46	0.050696	0.006133	500000000	0.056829</v>
      </c>
    </row>
    <row r="31" spans="1:11" x14ac:dyDescent="0.3">
      <c r="J31" s="61"/>
    </row>
    <row r="32" spans="1:11" x14ac:dyDescent="0.3">
      <c r="J32" s="61"/>
    </row>
  </sheetData>
  <mergeCells count="1">
    <mergeCell ref="B3:D3"/>
  </mergeCells>
  <pageMargins left="0.7" right="0.7" top="0.78740157499999996" bottom="0.78740157499999996" header="0.3" footer="0.3"/>
  <pageSetup paperSize="9" orientation="landscape" r:id="rId1"/>
  <headerFooter>
    <oddHeader>&amp;LMaster Thesis 2023/2024&amp;CSt. Lawrence Parish House,
Petrinja, Croatia&amp;R&amp;G</oddHeader>
    <oddFooter>&amp;L&amp;A&amp;CModel: Initial state&amp;R&amp;P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8E17-6A80-4319-85A4-080D33DE5624}">
  <sheetPr>
    <tabColor theme="4"/>
  </sheetPr>
  <dimension ref="A1:I54"/>
  <sheetViews>
    <sheetView view="pageLayout" zoomScaleNormal="55" workbookViewId="0">
      <selection activeCell="I4" sqref="I4"/>
    </sheetView>
  </sheetViews>
  <sheetFormatPr baseColWidth="10" defaultColWidth="10.6640625" defaultRowHeight="14" x14ac:dyDescent="0.3"/>
  <cols>
    <col min="1" max="1" width="17.83203125" bestFit="1" customWidth="1"/>
    <col min="3" max="3" width="6.5" bestFit="1" customWidth="1"/>
    <col min="4" max="6" width="4.83203125" bestFit="1" customWidth="1"/>
    <col min="7" max="7" width="5.9140625" bestFit="1" customWidth="1"/>
    <col min="8" max="8" width="12.83203125" bestFit="1" customWidth="1"/>
    <col min="9" max="9" width="55.4140625" bestFit="1" customWidth="1"/>
    <col min="10" max="10" width="39.6640625" customWidth="1"/>
  </cols>
  <sheetData>
    <row r="1" spans="1:9" ht="17" thickBot="1" x14ac:dyDescent="0.4">
      <c r="A1" s="60" t="s">
        <v>384</v>
      </c>
      <c r="B1" s="58"/>
      <c r="C1" s="59"/>
      <c r="D1" s="59"/>
      <c r="E1" s="59"/>
      <c r="F1" s="58"/>
      <c r="G1" s="58"/>
      <c r="H1" s="58"/>
      <c r="I1" s="58"/>
    </row>
    <row r="2" spans="1:9" ht="14.5" thickTop="1" x14ac:dyDescent="0.3">
      <c r="A2" s="61" t="s">
        <v>378</v>
      </c>
      <c r="B2" t="s">
        <v>379</v>
      </c>
      <c r="C2" s="25"/>
      <c r="D2" s="25"/>
      <c r="E2" s="25"/>
    </row>
    <row r="3" spans="1:9" x14ac:dyDescent="0.3">
      <c r="A3" s="61" t="s">
        <v>375</v>
      </c>
      <c r="B3" s="140">
        <f ca="1">TODAY()</f>
        <v>45304</v>
      </c>
      <c r="C3" s="140"/>
      <c r="D3" s="140"/>
      <c r="E3" s="25"/>
    </row>
    <row r="4" spans="1:9" x14ac:dyDescent="0.3">
      <c r="A4" s="61" t="s">
        <v>376</v>
      </c>
      <c r="B4" t="s">
        <v>381</v>
      </c>
      <c r="C4" s="25"/>
      <c r="D4" s="25"/>
      <c r="E4" s="25"/>
    </row>
    <row r="5" spans="1:9" x14ac:dyDescent="0.3">
      <c r="A5" s="61" t="s">
        <v>377</v>
      </c>
      <c r="C5" s="25"/>
      <c r="D5" s="25"/>
      <c r="E5" s="25"/>
      <c r="G5" s="39" t="s">
        <v>77</v>
      </c>
      <c r="H5" s="38" t="s">
        <v>127</v>
      </c>
    </row>
    <row r="6" spans="1:9" x14ac:dyDescent="0.3">
      <c r="C6" s="25"/>
      <c r="D6" s="25"/>
      <c r="E6" s="25"/>
    </row>
    <row r="7" spans="1:9" x14ac:dyDescent="0.3">
      <c r="A7" s="86" t="s">
        <v>25</v>
      </c>
      <c r="B7" s="86" t="s">
        <v>53</v>
      </c>
      <c r="C7" s="86" t="s">
        <v>26</v>
      </c>
      <c r="D7" s="86" t="s">
        <v>27</v>
      </c>
      <c r="E7" s="86" t="s">
        <v>28</v>
      </c>
      <c r="F7" s="86" t="s">
        <v>54</v>
      </c>
      <c r="G7" s="86" t="s">
        <v>55</v>
      </c>
      <c r="H7" s="86" t="s">
        <v>56</v>
      </c>
      <c r="I7" s="86" t="str">
        <f>TRIM(_xlfn.TEXTJOIN(CHAR(9),TRUE,A7:H7))</f>
        <v>#element	ShellMITC4	$eTag	$nI	$nJ	$nK	$nL	$secTag</v>
      </c>
    </row>
    <row r="8" spans="1:9" x14ac:dyDescent="0.3">
      <c r="A8" s="132" t="s">
        <v>21</v>
      </c>
      <c r="B8" s="132" t="s">
        <v>53</v>
      </c>
      <c r="C8" s="132">
        <v>201</v>
      </c>
      <c r="D8" s="133">
        <v>89</v>
      </c>
      <c r="E8" s="133">
        <v>46</v>
      </c>
      <c r="F8" s="134">
        <v>34</v>
      </c>
      <c r="G8" s="133">
        <v>35</v>
      </c>
      <c r="H8" s="132">
        <v>1</v>
      </c>
      <c r="I8" s="66" t="str">
        <f t="shared" ref="I8:I32" si="0">TRIM(_xlfn.TEXTJOIN(CHAR(9),TRUE,A8:H8))</f>
        <v>element	ShellMITC4	201	89	46	34	35	1</v>
      </c>
    </row>
    <row r="9" spans="1:9" x14ac:dyDescent="0.3">
      <c r="A9" s="132" t="s">
        <v>21</v>
      </c>
      <c r="B9" s="132" t="s">
        <v>53</v>
      </c>
      <c r="C9" s="132">
        <v>202</v>
      </c>
      <c r="D9" s="133">
        <v>46</v>
      </c>
      <c r="E9" s="133">
        <v>47</v>
      </c>
      <c r="F9" s="134">
        <v>33</v>
      </c>
      <c r="G9" s="133">
        <v>34</v>
      </c>
      <c r="H9" s="132">
        <v>2</v>
      </c>
      <c r="I9" s="66" t="str">
        <f t="shared" si="0"/>
        <v>element	ShellMITC4	202	46	47	33	34	2</v>
      </c>
    </row>
    <row r="10" spans="1:9" x14ac:dyDescent="0.3">
      <c r="A10" s="132" t="s">
        <v>21</v>
      </c>
      <c r="B10" s="132" t="s">
        <v>53</v>
      </c>
      <c r="C10" s="132">
        <v>203</v>
      </c>
      <c r="D10" s="133">
        <v>47</v>
      </c>
      <c r="E10" s="133">
        <v>48</v>
      </c>
      <c r="F10" s="134">
        <v>32</v>
      </c>
      <c r="G10" s="133">
        <v>33</v>
      </c>
      <c r="H10" s="132">
        <v>3</v>
      </c>
      <c r="I10" s="66" t="str">
        <f t="shared" si="0"/>
        <v>element	ShellMITC4	203	47	48	32	33	3</v>
      </c>
    </row>
    <row r="11" spans="1:9" x14ac:dyDescent="0.3">
      <c r="A11" s="132" t="s">
        <v>21</v>
      </c>
      <c r="B11" s="132" t="s">
        <v>53</v>
      </c>
      <c r="C11" s="132">
        <v>204</v>
      </c>
      <c r="D11" s="133">
        <v>48</v>
      </c>
      <c r="E11" s="133">
        <v>74</v>
      </c>
      <c r="F11" s="134">
        <v>75</v>
      </c>
      <c r="G11" s="133">
        <v>32</v>
      </c>
      <c r="H11" s="132">
        <v>4</v>
      </c>
      <c r="I11" s="66" t="str">
        <f t="shared" si="0"/>
        <v>element	ShellMITC4	204	48	74	75	32	4</v>
      </c>
    </row>
    <row r="12" spans="1:9" x14ac:dyDescent="0.3">
      <c r="A12" s="132" t="s">
        <v>21</v>
      </c>
      <c r="B12" s="132" t="s">
        <v>53</v>
      </c>
      <c r="C12" s="132">
        <v>205</v>
      </c>
      <c r="D12" s="133">
        <v>62</v>
      </c>
      <c r="E12" s="133">
        <v>63</v>
      </c>
      <c r="F12" s="134">
        <v>94</v>
      </c>
      <c r="G12" s="133">
        <v>41</v>
      </c>
      <c r="H12" s="132">
        <v>5</v>
      </c>
      <c r="I12" s="66" t="str">
        <f t="shared" si="0"/>
        <v>element	ShellMITC4	205	62	63	94	41	5</v>
      </c>
    </row>
    <row r="13" spans="1:9" x14ac:dyDescent="0.3">
      <c r="A13" s="132" t="s">
        <v>21</v>
      </c>
      <c r="B13" s="132" t="s">
        <v>53</v>
      </c>
      <c r="C13" s="132">
        <v>206</v>
      </c>
      <c r="D13" s="133">
        <v>302</v>
      </c>
      <c r="E13" s="133">
        <v>56</v>
      </c>
      <c r="F13" s="134">
        <v>301</v>
      </c>
      <c r="G13" s="133">
        <v>46</v>
      </c>
      <c r="H13" s="132">
        <v>6</v>
      </c>
      <c r="I13" s="66" t="str">
        <f t="shared" si="0"/>
        <v>element	ShellMITC4	206	302	56	301	46	6</v>
      </c>
    </row>
    <row r="14" spans="1:9" x14ac:dyDescent="0.3">
      <c r="A14" s="132" t="s">
        <v>21</v>
      </c>
      <c r="B14" s="132" t="s">
        <v>53</v>
      </c>
      <c r="C14" s="132">
        <v>207</v>
      </c>
      <c r="D14" s="133">
        <v>303</v>
      </c>
      <c r="E14" s="133">
        <v>304</v>
      </c>
      <c r="F14" s="134">
        <v>96</v>
      </c>
      <c r="G14" s="133">
        <v>95</v>
      </c>
      <c r="H14" s="132">
        <v>7</v>
      </c>
      <c r="I14" s="66" t="str">
        <f t="shared" si="0"/>
        <v>element	ShellMITC4	207	303	304	96	95	7</v>
      </c>
    </row>
    <row r="15" spans="1:9" x14ac:dyDescent="0.3">
      <c r="A15" s="132" t="s">
        <v>21</v>
      </c>
      <c r="B15" s="132" t="s">
        <v>53</v>
      </c>
      <c r="C15" s="132">
        <v>208</v>
      </c>
      <c r="D15" s="133">
        <v>53</v>
      </c>
      <c r="E15" s="133">
        <v>22</v>
      </c>
      <c r="F15" s="133">
        <v>23</v>
      </c>
      <c r="G15" s="134">
        <v>96</v>
      </c>
      <c r="H15" s="132">
        <v>8</v>
      </c>
      <c r="I15" s="66" t="str">
        <f t="shared" si="0"/>
        <v>element	ShellMITC4	208	53	22	23	96	8</v>
      </c>
    </row>
    <row r="16" spans="1:9" x14ac:dyDescent="0.3">
      <c r="A16" s="132" t="s">
        <v>21</v>
      </c>
      <c r="B16" s="132" t="s">
        <v>53</v>
      </c>
      <c r="C16" s="132">
        <v>209</v>
      </c>
      <c r="D16" s="133">
        <v>305</v>
      </c>
      <c r="E16" s="133">
        <v>306</v>
      </c>
      <c r="F16" s="134">
        <v>56</v>
      </c>
      <c r="G16" s="133">
        <v>302</v>
      </c>
      <c r="H16" s="132">
        <v>9</v>
      </c>
      <c r="I16" s="66" t="str">
        <f t="shared" si="0"/>
        <v>element	ShellMITC4	209	305	306	56	302	9</v>
      </c>
    </row>
    <row r="17" spans="1:9" x14ac:dyDescent="0.3">
      <c r="A17" s="132" t="s">
        <v>21</v>
      </c>
      <c r="B17" s="132" t="s">
        <v>53</v>
      </c>
      <c r="C17" s="132">
        <v>210</v>
      </c>
      <c r="D17" s="133">
        <v>307</v>
      </c>
      <c r="E17" s="133">
        <v>53</v>
      </c>
      <c r="F17" s="134">
        <v>304</v>
      </c>
      <c r="G17" s="133">
        <v>303</v>
      </c>
      <c r="H17" s="132">
        <v>10</v>
      </c>
      <c r="I17" s="66" t="str">
        <f t="shared" si="0"/>
        <v>element	ShellMITC4	210	307	53	304	303	10</v>
      </c>
    </row>
    <row r="18" spans="1:9" x14ac:dyDescent="0.3">
      <c r="A18" s="132" t="s">
        <v>21</v>
      </c>
      <c r="B18" s="132" t="s">
        <v>53</v>
      </c>
      <c r="C18" s="132">
        <v>211</v>
      </c>
      <c r="D18" s="133">
        <v>8</v>
      </c>
      <c r="E18" s="133">
        <v>308</v>
      </c>
      <c r="F18" s="134">
        <v>306</v>
      </c>
      <c r="G18" s="133">
        <v>305</v>
      </c>
      <c r="H18" s="132">
        <v>11</v>
      </c>
      <c r="I18" s="66" t="str">
        <f t="shared" si="0"/>
        <v>element	ShellMITC4	211	8	308	306	305	11</v>
      </c>
    </row>
    <row r="19" spans="1:9" x14ac:dyDescent="0.3">
      <c r="A19" s="132" t="s">
        <v>21</v>
      </c>
      <c r="B19" s="132" t="s">
        <v>53</v>
      </c>
      <c r="C19" s="132">
        <v>212</v>
      </c>
      <c r="D19" s="133">
        <v>308</v>
      </c>
      <c r="E19" s="133">
        <v>309</v>
      </c>
      <c r="F19" s="134">
        <v>307</v>
      </c>
      <c r="G19" s="133">
        <v>306</v>
      </c>
      <c r="H19" s="132">
        <v>12</v>
      </c>
      <c r="I19" s="66" t="str">
        <f t="shared" si="0"/>
        <v>element	ShellMITC4	212	308	309	307	306	12</v>
      </c>
    </row>
    <row r="20" spans="1:9" x14ac:dyDescent="0.3">
      <c r="A20" s="132" t="s">
        <v>21</v>
      </c>
      <c r="B20" s="132" t="s">
        <v>53</v>
      </c>
      <c r="C20" s="132">
        <v>213</v>
      </c>
      <c r="D20" s="133">
        <v>309</v>
      </c>
      <c r="E20" s="133">
        <v>11</v>
      </c>
      <c r="F20" s="133">
        <v>101</v>
      </c>
      <c r="G20" s="133">
        <v>307</v>
      </c>
      <c r="H20" s="132">
        <v>13</v>
      </c>
      <c r="I20" s="66" t="str">
        <f t="shared" si="0"/>
        <v>element	ShellMITC4	213	309	11	101	307	13</v>
      </c>
    </row>
    <row r="21" spans="1:9" x14ac:dyDescent="0.3">
      <c r="A21" s="132" t="s">
        <v>21</v>
      </c>
      <c r="B21" s="132" t="s">
        <v>53</v>
      </c>
      <c r="C21" s="132">
        <v>214</v>
      </c>
      <c r="D21" s="133">
        <v>11</v>
      </c>
      <c r="E21" s="133">
        <v>12</v>
      </c>
      <c r="F21" s="134">
        <v>73</v>
      </c>
      <c r="G21" s="133">
        <v>101</v>
      </c>
      <c r="H21" s="132">
        <v>14</v>
      </c>
      <c r="I21" s="66" t="str">
        <f t="shared" si="0"/>
        <v>element	ShellMITC4	214	11	12	73	101	14</v>
      </c>
    </row>
    <row r="22" spans="1:9" x14ac:dyDescent="0.3">
      <c r="A22" s="135" t="s">
        <v>21</v>
      </c>
      <c r="B22" s="135" t="s">
        <v>53</v>
      </c>
      <c r="C22" s="135">
        <v>215</v>
      </c>
      <c r="D22" s="136">
        <v>88</v>
      </c>
      <c r="E22" s="136">
        <v>43</v>
      </c>
      <c r="F22" s="137">
        <v>30</v>
      </c>
      <c r="G22" s="136">
        <v>31</v>
      </c>
      <c r="H22" s="135">
        <v>30</v>
      </c>
      <c r="I22" s="66" t="str">
        <f t="shared" si="0"/>
        <v>element	ShellMITC4	215	88	43	30	31	30</v>
      </c>
    </row>
    <row r="23" spans="1:9" x14ac:dyDescent="0.3">
      <c r="A23" s="135" t="s">
        <v>21</v>
      </c>
      <c r="B23" s="135" t="s">
        <v>53</v>
      </c>
      <c r="C23" s="135">
        <v>216</v>
      </c>
      <c r="D23" s="136">
        <v>43</v>
      </c>
      <c r="E23" s="136">
        <v>44</v>
      </c>
      <c r="F23" s="137">
        <v>29</v>
      </c>
      <c r="G23" s="136">
        <v>30</v>
      </c>
      <c r="H23" s="135">
        <v>30</v>
      </c>
      <c r="I23" s="66" t="str">
        <f t="shared" si="0"/>
        <v>element	ShellMITC4	216	43	44	29	30	30</v>
      </c>
    </row>
    <row r="24" spans="1:9" x14ac:dyDescent="0.3">
      <c r="A24" s="135" t="s">
        <v>21</v>
      </c>
      <c r="B24" s="135" t="s">
        <v>53</v>
      </c>
      <c r="C24" s="135">
        <v>217</v>
      </c>
      <c r="D24" s="135">
        <v>44</v>
      </c>
      <c r="E24" s="135">
        <v>45</v>
      </c>
      <c r="F24" s="135">
        <v>28</v>
      </c>
      <c r="G24" s="135">
        <v>29</v>
      </c>
      <c r="H24" s="135">
        <v>30</v>
      </c>
      <c r="I24" s="66" t="str">
        <f t="shared" si="0"/>
        <v>element	ShellMITC4	217	44	45	28	29	30</v>
      </c>
    </row>
    <row r="25" spans="1:9" x14ac:dyDescent="0.3">
      <c r="A25" s="135" t="s">
        <v>21</v>
      </c>
      <c r="B25" s="135" t="s">
        <v>53</v>
      </c>
      <c r="C25" s="135">
        <v>218</v>
      </c>
      <c r="D25" s="135">
        <v>45</v>
      </c>
      <c r="E25" s="135">
        <v>71</v>
      </c>
      <c r="F25" s="135">
        <v>72</v>
      </c>
      <c r="G25" s="135">
        <v>28</v>
      </c>
      <c r="H25" s="135">
        <v>30</v>
      </c>
      <c r="I25" s="66" t="str">
        <f t="shared" si="0"/>
        <v>element	ShellMITC4	218	45	71	72	28	30</v>
      </c>
    </row>
    <row r="26" spans="1:9" x14ac:dyDescent="0.3">
      <c r="A26" s="135" t="s">
        <v>21</v>
      </c>
      <c r="B26" s="135" t="s">
        <v>53</v>
      </c>
      <c r="C26" s="135">
        <v>219</v>
      </c>
      <c r="D26" s="135">
        <v>1</v>
      </c>
      <c r="E26" s="135">
        <v>2</v>
      </c>
      <c r="F26" s="135">
        <v>43</v>
      </c>
      <c r="G26" s="135">
        <v>88</v>
      </c>
      <c r="H26" s="135">
        <v>30</v>
      </c>
      <c r="I26" s="66" t="str">
        <f t="shared" si="0"/>
        <v>element	ShellMITC4	219	1	2	43	88	30</v>
      </c>
    </row>
    <row r="27" spans="1:9" x14ac:dyDescent="0.3">
      <c r="A27" s="132" t="s">
        <v>21</v>
      </c>
      <c r="B27" s="132" t="s">
        <v>53</v>
      </c>
      <c r="C27" s="133">
        <v>220</v>
      </c>
      <c r="D27" s="133">
        <v>55</v>
      </c>
      <c r="E27" s="133">
        <v>311</v>
      </c>
      <c r="F27" s="134">
        <v>44</v>
      </c>
      <c r="G27" s="133">
        <v>310</v>
      </c>
      <c r="H27" s="132">
        <v>20</v>
      </c>
      <c r="I27" s="66" t="str">
        <f t="shared" si="0"/>
        <v>element	ShellMITC4	220	55	311	44	310	20</v>
      </c>
    </row>
    <row r="28" spans="1:9" x14ac:dyDescent="0.3">
      <c r="A28" s="135" t="s">
        <v>21</v>
      </c>
      <c r="B28" s="135" t="s">
        <v>53</v>
      </c>
      <c r="C28" s="135">
        <v>221</v>
      </c>
      <c r="D28" s="135">
        <v>315</v>
      </c>
      <c r="E28" s="135">
        <v>5</v>
      </c>
      <c r="F28" s="135">
        <v>45</v>
      </c>
      <c r="G28" s="135">
        <v>44</v>
      </c>
      <c r="H28" s="135">
        <v>30</v>
      </c>
      <c r="I28" s="66" t="str">
        <f t="shared" si="0"/>
        <v>element	ShellMITC4	221	315	5	45	44	30</v>
      </c>
    </row>
    <row r="29" spans="1:9" x14ac:dyDescent="0.3">
      <c r="A29" s="135" t="s">
        <v>21</v>
      </c>
      <c r="B29" s="135" t="s">
        <v>53</v>
      </c>
      <c r="C29" s="135">
        <v>222</v>
      </c>
      <c r="D29" s="135">
        <v>100</v>
      </c>
      <c r="E29" s="135">
        <v>70</v>
      </c>
      <c r="F29" s="135">
        <v>71</v>
      </c>
      <c r="G29" s="135">
        <v>45</v>
      </c>
      <c r="H29" s="135">
        <v>30</v>
      </c>
      <c r="I29" s="66" t="str">
        <f t="shared" si="0"/>
        <v>element	ShellMITC4	222	100	70	71	45	30</v>
      </c>
    </row>
    <row r="30" spans="1:9" x14ac:dyDescent="0.3">
      <c r="A30" s="132" t="s">
        <v>21</v>
      </c>
      <c r="B30" s="132" t="s">
        <v>53</v>
      </c>
      <c r="C30" s="133">
        <v>223</v>
      </c>
      <c r="D30" s="133">
        <v>313</v>
      </c>
      <c r="E30" s="133">
        <v>314</v>
      </c>
      <c r="F30" s="134">
        <v>311</v>
      </c>
      <c r="G30" s="133">
        <v>55</v>
      </c>
      <c r="H30" s="132">
        <v>23</v>
      </c>
      <c r="I30" s="66" t="str">
        <f t="shared" si="0"/>
        <v>element	ShellMITC4	223	313	314	311	55	23</v>
      </c>
    </row>
    <row r="31" spans="1:9" x14ac:dyDescent="0.3">
      <c r="A31" s="135" t="s">
        <v>21</v>
      </c>
      <c r="B31" s="135" t="s">
        <v>53</v>
      </c>
      <c r="C31" s="135">
        <v>224</v>
      </c>
      <c r="D31" s="135">
        <v>2</v>
      </c>
      <c r="E31" s="135">
        <v>315</v>
      </c>
      <c r="F31" s="135">
        <v>314</v>
      </c>
      <c r="G31" s="135">
        <v>312</v>
      </c>
      <c r="H31" s="135">
        <v>30</v>
      </c>
      <c r="I31" s="66" t="str">
        <f t="shared" si="0"/>
        <v>element	ShellMITC4	224	2	315	314	312	30</v>
      </c>
    </row>
    <row r="32" spans="1:9" x14ac:dyDescent="0.3">
      <c r="A32" s="135" t="s">
        <v>21</v>
      </c>
      <c r="B32" s="135" t="s">
        <v>53</v>
      </c>
      <c r="C32" s="135">
        <v>225</v>
      </c>
      <c r="D32" s="135">
        <v>5</v>
      </c>
      <c r="E32" s="135">
        <v>6</v>
      </c>
      <c r="F32" s="135">
        <v>70</v>
      </c>
      <c r="G32" s="135">
        <v>100</v>
      </c>
      <c r="H32" s="135">
        <v>30</v>
      </c>
      <c r="I32" s="66" t="str">
        <f t="shared" si="0"/>
        <v>element	ShellMITC4	225	5	6	70	100	30</v>
      </c>
    </row>
    <row r="54" spans="1:1" x14ac:dyDescent="0.3">
      <c r="A54" s="51"/>
    </row>
  </sheetData>
  <sortState xmlns:xlrd2="http://schemas.microsoft.com/office/spreadsheetml/2017/richdata2" ref="F37:F80">
    <sortCondition ref="F37:F80"/>
  </sortState>
  <mergeCells count="1">
    <mergeCell ref="B3:D3"/>
  </mergeCells>
  <phoneticPr fontId="1" type="noConversion"/>
  <pageMargins left="0.7" right="0.7" top="0.78740157499999996" bottom="0.78740157499999996" header="0.3" footer="0.3"/>
  <pageSetup paperSize="9" scale="95" orientation="landscape" r:id="rId1"/>
  <headerFooter>
    <oddHeader>&amp;LMaster Thesis 2023/2024&amp;CSt. Lawrence Parish House,
Petrinja, Croatia&amp;R&amp;G</oddHeader>
    <oddFooter>&amp;L&amp;A&amp;CModel: Initial state&amp;R&amp;P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FD50-76DA-4248-A790-A0416EE6C0CF}">
  <sheetPr>
    <tabColor theme="4"/>
  </sheetPr>
  <dimension ref="A1:H28"/>
  <sheetViews>
    <sheetView view="pageLayout" zoomScaleNormal="100" workbookViewId="0">
      <selection activeCell="H3" sqref="H3"/>
    </sheetView>
  </sheetViews>
  <sheetFormatPr baseColWidth="10" defaultColWidth="8.6640625" defaultRowHeight="14" x14ac:dyDescent="0.3"/>
  <cols>
    <col min="1" max="1" width="10.08203125" bestFit="1" customWidth="1"/>
    <col min="2" max="2" width="20.4140625" bestFit="1" customWidth="1"/>
    <col min="3" max="3" width="7.9140625" bestFit="1" customWidth="1"/>
    <col min="4" max="4" width="6.83203125" bestFit="1" customWidth="1"/>
    <col min="5" max="5" width="7.33203125" bestFit="1" customWidth="1"/>
    <col min="6" max="6" width="8.33203125" bestFit="1" customWidth="1"/>
    <col min="7" max="7" width="10.4140625" bestFit="1" customWidth="1"/>
    <col min="8" max="8" width="74.5" bestFit="1" customWidth="1"/>
  </cols>
  <sheetData>
    <row r="1" spans="1:8" ht="17" thickBot="1" x14ac:dyDescent="0.4">
      <c r="A1" s="60" t="s">
        <v>385</v>
      </c>
      <c r="B1" s="58"/>
      <c r="C1" s="59"/>
      <c r="D1" s="59"/>
      <c r="E1" s="59"/>
      <c r="F1" s="58"/>
      <c r="G1" s="58"/>
      <c r="H1" s="58"/>
    </row>
    <row r="2" spans="1:8" ht="14.5" thickTop="1" x14ac:dyDescent="0.3">
      <c r="A2" s="61" t="s">
        <v>378</v>
      </c>
      <c r="C2" t="s">
        <v>379</v>
      </c>
      <c r="D2" s="25"/>
      <c r="E2" s="25"/>
    </row>
    <row r="3" spans="1:8" x14ac:dyDescent="0.3">
      <c r="A3" s="61" t="s">
        <v>375</v>
      </c>
      <c r="C3" s="140">
        <f ca="1">TODAY()</f>
        <v>45304</v>
      </c>
      <c r="D3" s="140"/>
      <c r="E3" s="140"/>
    </row>
    <row r="4" spans="1:8" x14ac:dyDescent="0.3">
      <c r="A4" s="61" t="s">
        <v>376</v>
      </c>
      <c r="C4" t="s">
        <v>381</v>
      </c>
      <c r="D4" s="25"/>
      <c r="E4" s="25"/>
    </row>
    <row r="5" spans="1:8" x14ac:dyDescent="0.3">
      <c r="A5" s="61" t="s">
        <v>377</v>
      </c>
      <c r="C5" t="s">
        <v>177</v>
      </c>
      <c r="D5" s="25"/>
      <c r="E5" s="25"/>
    </row>
    <row r="6" spans="1:8" x14ac:dyDescent="0.3">
      <c r="A6" s="61"/>
      <c r="C6" s="25"/>
      <c r="D6" s="25"/>
      <c r="E6" s="25"/>
    </row>
    <row r="7" spans="1:8" x14ac:dyDescent="0.3">
      <c r="A7" s="61" t="s">
        <v>273</v>
      </c>
      <c r="B7" s="61"/>
      <c r="C7" s="63"/>
      <c r="D7" s="63"/>
      <c r="E7" s="63"/>
      <c r="F7" s="61"/>
      <c r="G7" s="61"/>
      <c r="H7" s="61" t="str">
        <f>TRIM(_xlfn.TEXTJOIN(CHAR(9),TRUE,A7:G7))</f>
        <v># Ring beam elements-------------------------------------------------------------------------------</v>
      </c>
    </row>
    <row r="8" spans="1:8" x14ac:dyDescent="0.3">
      <c r="A8" s="61" t="s">
        <v>260</v>
      </c>
      <c r="B8" s="61" t="s">
        <v>270</v>
      </c>
      <c r="C8" s="61" t="s">
        <v>261</v>
      </c>
      <c r="D8" s="61" t="s">
        <v>262</v>
      </c>
      <c r="E8" s="61" t="s">
        <v>263</v>
      </c>
      <c r="F8" s="61" t="s">
        <v>56</v>
      </c>
      <c r="G8" s="61" t="s">
        <v>268</v>
      </c>
      <c r="H8" s="61" t="str">
        <f>TRIM(_xlfn.TEXTJOIN(CHAR(9),TRUE,B8:G8))</f>
        <v>#$elasticBeamColumn	$eleTag	$nodeI	$nodeJ	$secTag	$transfTag</v>
      </c>
    </row>
    <row r="9" spans="1:8" x14ac:dyDescent="0.3">
      <c r="A9" s="66" t="s">
        <v>21</v>
      </c>
      <c r="B9" s="66" t="s">
        <v>269</v>
      </c>
      <c r="C9" s="66">
        <v>301</v>
      </c>
      <c r="D9" s="66">
        <v>1</v>
      </c>
      <c r="E9" s="66">
        <v>2</v>
      </c>
      <c r="F9" s="66">
        <v>100</v>
      </c>
      <c r="G9" s="66">
        <v>100</v>
      </c>
      <c r="H9" s="66" t="str">
        <f>TRIM(_xlfn.TEXTJOIN(CHAR(9),TRUE,A9:G9))</f>
        <v>element	elasticBeamColumn	301	1	2	100	100</v>
      </c>
    </row>
    <row r="10" spans="1:8" x14ac:dyDescent="0.3">
      <c r="A10" s="66" t="s">
        <v>21</v>
      </c>
      <c r="B10" s="66" t="s">
        <v>269</v>
      </c>
      <c r="C10" s="66">
        <v>302</v>
      </c>
      <c r="D10" s="66">
        <v>2</v>
      </c>
      <c r="E10" s="66">
        <v>3</v>
      </c>
      <c r="F10" s="66">
        <v>100</v>
      </c>
      <c r="G10" s="66">
        <v>100</v>
      </c>
      <c r="H10" s="66" t="str">
        <f>TRIM(_xlfn.TEXTJOIN(CHAR(9),TRUE,A10:G10))</f>
        <v>element	elasticBeamColumn	302	2	3	100	100</v>
      </c>
    </row>
    <row r="11" spans="1:8" x14ac:dyDescent="0.3">
      <c r="A11" s="66" t="s">
        <v>21</v>
      </c>
      <c r="B11" s="66" t="s">
        <v>269</v>
      </c>
      <c r="C11" s="66">
        <v>303</v>
      </c>
      <c r="D11" s="66">
        <v>3</v>
      </c>
      <c r="E11" s="66">
        <v>315</v>
      </c>
      <c r="F11" s="66">
        <v>100</v>
      </c>
      <c r="G11" s="66">
        <v>100</v>
      </c>
      <c r="H11" s="66" t="str">
        <f>TRIM(_xlfn.TEXTJOIN(CHAR(9),TRUE,A11:G11))</f>
        <v>element	elasticBeamColumn	303	3	315	100	100</v>
      </c>
    </row>
    <row r="12" spans="1:8" x14ac:dyDescent="0.3">
      <c r="A12" s="66" t="s">
        <v>21</v>
      </c>
      <c r="B12" s="66" t="s">
        <v>269</v>
      </c>
      <c r="C12" s="66">
        <v>304</v>
      </c>
      <c r="D12" s="66">
        <v>315</v>
      </c>
      <c r="E12" s="66">
        <v>5</v>
      </c>
      <c r="F12" s="66">
        <v>100</v>
      </c>
      <c r="G12" s="66">
        <v>100</v>
      </c>
      <c r="H12" s="66" t="str">
        <f t="shared" ref="H12" si="0">TRIM(_xlfn.TEXTJOIN(CHAR(9),TRUE,A12:G12))</f>
        <v>element	elasticBeamColumn	304	315	5	100	100</v>
      </c>
    </row>
    <row r="13" spans="1:8" x14ac:dyDescent="0.3">
      <c r="A13" s="66" t="s">
        <v>21</v>
      </c>
      <c r="B13" s="66" t="s">
        <v>269</v>
      </c>
      <c r="C13" s="66">
        <v>305</v>
      </c>
      <c r="D13" s="66">
        <v>5</v>
      </c>
      <c r="E13" s="66">
        <v>6</v>
      </c>
      <c r="F13" s="66">
        <v>100</v>
      </c>
      <c r="G13" s="66">
        <v>100</v>
      </c>
      <c r="H13" s="66" t="str">
        <f t="shared" ref="H13:H23" si="1">TRIM(_xlfn.TEXTJOIN(CHAR(9),TRUE,A13:G13))</f>
        <v>element	elasticBeamColumn	305	5	6	100	100</v>
      </c>
    </row>
    <row r="14" spans="1:8" x14ac:dyDescent="0.3">
      <c r="A14" s="66" t="s">
        <v>21</v>
      </c>
      <c r="B14" s="66" t="s">
        <v>269</v>
      </c>
      <c r="C14" s="66">
        <v>306</v>
      </c>
      <c r="D14" s="66">
        <v>61</v>
      </c>
      <c r="E14" s="66">
        <v>19</v>
      </c>
      <c r="F14" s="66">
        <v>100</v>
      </c>
      <c r="G14" s="66">
        <v>100</v>
      </c>
      <c r="H14" s="66" t="str">
        <f t="shared" si="1"/>
        <v>element	elasticBeamColumn	306	61	19	100	100</v>
      </c>
    </row>
    <row r="15" spans="1:8" x14ac:dyDescent="0.3">
      <c r="A15" s="66" t="s">
        <v>21</v>
      </c>
      <c r="B15" s="66" t="s">
        <v>269</v>
      </c>
      <c r="C15" s="66">
        <v>307</v>
      </c>
      <c r="D15" s="66">
        <v>19</v>
      </c>
      <c r="E15" s="66">
        <v>20</v>
      </c>
      <c r="F15" s="66">
        <v>100</v>
      </c>
      <c r="G15" s="66">
        <v>100</v>
      </c>
      <c r="H15" s="66" t="str">
        <f t="shared" si="1"/>
        <v>element	elasticBeamColumn	307	19	20	100	100</v>
      </c>
    </row>
    <row r="16" spans="1:8" x14ac:dyDescent="0.3">
      <c r="A16" s="66" t="s">
        <v>21</v>
      </c>
      <c r="B16" s="66" t="s">
        <v>269</v>
      </c>
      <c r="C16" s="66">
        <v>308</v>
      </c>
      <c r="D16" s="66">
        <v>20</v>
      </c>
      <c r="E16" s="66">
        <v>21</v>
      </c>
      <c r="F16" s="66">
        <v>100</v>
      </c>
      <c r="G16" s="66">
        <v>100</v>
      </c>
      <c r="H16" s="66" t="str">
        <f t="shared" si="1"/>
        <v>element	elasticBeamColumn	308	20	21	100	100</v>
      </c>
    </row>
    <row r="17" spans="1:8" x14ac:dyDescent="0.3">
      <c r="A17" s="66" t="s">
        <v>21</v>
      </c>
      <c r="B17" s="66" t="s">
        <v>269</v>
      </c>
      <c r="C17" s="66">
        <v>309</v>
      </c>
      <c r="D17" s="66">
        <v>72</v>
      </c>
      <c r="E17" s="66">
        <v>28</v>
      </c>
      <c r="F17" s="66">
        <v>100</v>
      </c>
      <c r="G17" s="66">
        <v>100</v>
      </c>
      <c r="H17" s="66" t="str">
        <f t="shared" si="1"/>
        <v>element	elasticBeamColumn	309	72	28	100	100</v>
      </c>
    </row>
    <row r="18" spans="1:8" x14ac:dyDescent="0.3">
      <c r="A18" s="66" t="s">
        <v>21</v>
      </c>
      <c r="B18" s="66" t="s">
        <v>269</v>
      </c>
      <c r="C18" s="66">
        <v>310</v>
      </c>
      <c r="D18" s="66">
        <v>28</v>
      </c>
      <c r="E18" s="66">
        <v>29</v>
      </c>
      <c r="F18" s="66">
        <v>100</v>
      </c>
      <c r="G18" s="66">
        <v>100</v>
      </c>
      <c r="H18" s="66" t="str">
        <f t="shared" si="1"/>
        <v>element	elasticBeamColumn	310	28	29	100	100</v>
      </c>
    </row>
    <row r="19" spans="1:8" x14ac:dyDescent="0.3">
      <c r="A19" s="66" t="s">
        <v>21</v>
      </c>
      <c r="B19" s="66" t="s">
        <v>269</v>
      </c>
      <c r="C19" s="66">
        <v>311</v>
      </c>
      <c r="D19" s="66">
        <v>29</v>
      </c>
      <c r="E19" s="66">
        <v>30</v>
      </c>
      <c r="F19" s="66">
        <v>100</v>
      </c>
      <c r="G19" s="66">
        <v>100</v>
      </c>
      <c r="H19" s="66" t="str">
        <f t="shared" si="1"/>
        <v>element	elasticBeamColumn	311	29	30	100	100</v>
      </c>
    </row>
    <row r="20" spans="1:8" x14ac:dyDescent="0.3">
      <c r="A20" s="66" t="s">
        <v>21</v>
      </c>
      <c r="B20" s="66" t="s">
        <v>269</v>
      </c>
      <c r="C20" s="66">
        <v>312</v>
      </c>
      <c r="D20" s="66">
        <v>30</v>
      </c>
      <c r="E20" s="66">
        <v>31</v>
      </c>
      <c r="F20" s="66">
        <v>100</v>
      </c>
      <c r="G20" s="66">
        <v>100</v>
      </c>
      <c r="H20" s="66" t="str">
        <f t="shared" si="1"/>
        <v>element	elasticBeamColumn	312	30	31	100	100</v>
      </c>
    </row>
    <row r="21" spans="1:8" x14ac:dyDescent="0.3">
      <c r="A21" s="66" t="s">
        <v>21</v>
      </c>
      <c r="B21" s="66" t="s">
        <v>269</v>
      </c>
      <c r="C21" s="66">
        <v>313</v>
      </c>
      <c r="D21" s="66">
        <v>81</v>
      </c>
      <c r="E21" s="66">
        <v>40</v>
      </c>
      <c r="F21" s="66">
        <v>100</v>
      </c>
      <c r="G21" s="66">
        <v>100</v>
      </c>
      <c r="H21" s="66" t="str">
        <f t="shared" si="1"/>
        <v>element	elasticBeamColumn	313	81	40	100	100</v>
      </c>
    </row>
    <row r="22" spans="1:8" x14ac:dyDescent="0.3">
      <c r="A22" s="66" t="s">
        <v>21</v>
      </c>
      <c r="B22" s="66" t="s">
        <v>269</v>
      </c>
      <c r="C22" s="66">
        <v>314</v>
      </c>
      <c r="D22" s="66">
        <v>40</v>
      </c>
      <c r="E22" s="66">
        <v>58</v>
      </c>
      <c r="F22" s="66">
        <v>100</v>
      </c>
      <c r="G22" s="66">
        <v>100</v>
      </c>
      <c r="H22" s="66" t="str">
        <f t="shared" si="1"/>
        <v>element	elasticBeamColumn	314	40	58	100	100</v>
      </c>
    </row>
    <row r="23" spans="1:8" x14ac:dyDescent="0.3">
      <c r="A23" t="s">
        <v>274</v>
      </c>
      <c r="C23" s="4"/>
      <c r="D23" s="4"/>
      <c r="E23" s="4"/>
      <c r="H23" t="str">
        <f t="shared" si="1"/>
        <v># END Ring beam elements-------------------------------------------------------------------------------</v>
      </c>
    </row>
    <row r="25" spans="1:8" x14ac:dyDescent="0.3">
      <c r="A25" s="61" t="s">
        <v>354</v>
      </c>
      <c r="B25" s="61"/>
      <c r="C25" s="61"/>
      <c r="D25" s="61"/>
      <c r="E25" s="61"/>
      <c r="F25" s="61"/>
      <c r="G25" s="61"/>
      <c r="H25" s="61" t="str">
        <f>TRIM(_xlfn.TEXTJOIN(CHAR(9),TRUE,A25:G25))</f>
        <v>#Irregularities in walls-------------------------------------------------------------------------------</v>
      </c>
    </row>
    <row r="26" spans="1:8" x14ac:dyDescent="0.3">
      <c r="A26" s="66" t="s">
        <v>21</v>
      </c>
      <c r="B26" s="66" t="s">
        <v>269</v>
      </c>
      <c r="C26" s="66">
        <v>315</v>
      </c>
      <c r="D26" s="66">
        <v>46</v>
      </c>
      <c r="E26" s="66">
        <v>47</v>
      </c>
      <c r="F26" s="66">
        <v>200</v>
      </c>
      <c r="G26" s="66">
        <v>100</v>
      </c>
      <c r="H26" s="66" t="str">
        <f>TRIM(_xlfn.TEXTJOIN(CHAR(9),TRUE,A26:G26))</f>
        <v>element	elasticBeamColumn	315	46	47	200	100</v>
      </c>
    </row>
    <row r="27" spans="1:8" x14ac:dyDescent="0.3">
      <c r="A27" s="66" t="s">
        <v>21</v>
      </c>
      <c r="B27" s="66" t="s">
        <v>269</v>
      </c>
      <c r="C27" s="66">
        <v>316</v>
      </c>
      <c r="D27" s="66">
        <v>43</v>
      </c>
      <c r="E27" s="66">
        <v>44</v>
      </c>
      <c r="F27" s="66">
        <v>300</v>
      </c>
      <c r="G27" s="66">
        <v>100</v>
      </c>
      <c r="H27" s="66" t="str">
        <f>TRIM(_xlfn.TEXTJOIN(CHAR(9),TRUE,A27:G27))</f>
        <v>element	elasticBeamColumn	316	43	44	300	100</v>
      </c>
    </row>
    <row r="28" spans="1:8" x14ac:dyDescent="0.3">
      <c r="A28" t="s">
        <v>355</v>
      </c>
      <c r="H28" t="str">
        <f>TRIM(_xlfn.TEXTJOIN(CHAR(9),TRUE,A28:G28))</f>
        <v># END Irregularities in walls-------------------------------------------------------------------------------</v>
      </c>
    </row>
  </sheetData>
  <dataConsolidate/>
  <mergeCells count="1">
    <mergeCell ref="C3:E3"/>
  </mergeCells>
  <pageMargins left="0.7" right="0.7" top="0.75" bottom="0.75" header="0.3" footer="0.3"/>
  <pageSetup paperSize="9" scale="80" orientation="landscape" r:id="rId1"/>
  <headerFooter>
    <oddHeader>&amp;LMaster Thesis 2023/2024&amp;CSt. Lawrence Parish House,
Petrinja, Croatia&amp;R&amp;G</oddHeader>
    <oddFooter>&amp;L&amp;A&amp;CModel: Initial state&amp;R&amp;P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8EF3-8AEE-4C6C-8B9D-A16ECCA21A8E}">
  <sheetPr>
    <tabColor theme="4"/>
  </sheetPr>
  <dimension ref="A1:I58"/>
  <sheetViews>
    <sheetView view="pageLayout" zoomScaleNormal="100" workbookViewId="0">
      <selection activeCell="G5" sqref="G5"/>
    </sheetView>
  </sheetViews>
  <sheetFormatPr baseColWidth="10" defaultColWidth="10.6640625" defaultRowHeight="14" x14ac:dyDescent="0.3"/>
  <cols>
    <col min="1" max="8" width="5.9140625" customWidth="1"/>
    <col min="9" max="9" width="30.6640625" bestFit="1" customWidth="1"/>
  </cols>
  <sheetData>
    <row r="1" spans="1:9" ht="17" thickBot="1" x14ac:dyDescent="0.4">
      <c r="A1" s="60" t="s">
        <v>386</v>
      </c>
      <c r="B1" s="58"/>
      <c r="C1" s="59"/>
      <c r="D1" s="59"/>
      <c r="E1" s="59"/>
      <c r="F1" s="58"/>
      <c r="G1" s="58"/>
      <c r="H1" s="58"/>
      <c r="I1" s="58"/>
    </row>
    <row r="2" spans="1:9" ht="14.5" thickTop="1" x14ac:dyDescent="0.3">
      <c r="A2" s="61" t="s">
        <v>378</v>
      </c>
      <c r="D2" t="s">
        <v>379</v>
      </c>
      <c r="E2" s="25"/>
      <c r="F2" s="25"/>
    </row>
    <row r="3" spans="1:9" x14ac:dyDescent="0.3">
      <c r="A3" s="61" t="s">
        <v>375</v>
      </c>
      <c r="D3" s="140">
        <f ca="1">TODAY()</f>
        <v>45304</v>
      </c>
      <c r="E3" s="140"/>
      <c r="F3" s="140"/>
    </row>
    <row r="4" spans="1:9" x14ac:dyDescent="0.3">
      <c r="A4" s="61" t="s">
        <v>376</v>
      </c>
      <c r="D4" t="s">
        <v>381</v>
      </c>
      <c r="E4" s="25"/>
      <c r="F4" s="25"/>
    </row>
    <row r="5" spans="1:9" x14ac:dyDescent="0.3">
      <c r="A5" s="61" t="s">
        <v>377</v>
      </c>
      <c r="D5" t="s">
        <v>177</v>
      </c>
      <c r="E5" s="25"/>
      <c r="F5" s="25"/>
    </row>
    <row r="6" spans="1:9" x14ac:dyDescent="0.3">
      <c r="A6" s="61"/>
      <c r="E6" s="25"/>
      <c r="F6" s="25"/>
    </row>
    <row r="7" spans="1:9" x14ac:dyDescent="0.3">
      <c r="A7" s="61" t="s">
        <v>236</v>
      </c>
      <c r="B7" s="61" t="s">
        <v>206</v>
      </c>
      <c r="C7" s="61" t="s">
        <v>12</v>
      </c>
      <c r="D7" s="61" t="s">
        <v>13</v>
      </c>
      <c r="E7" s="61" t="s">
        <v>16</v>
      </c>
      <c r="F7" s="61" t="s">
        <v>17</v>
      </c>
      <c r="G7" s="61" t="s">
        <v>15</v>
      </c>
      <c r="H7" s="61" t="s">
        <v>18</v>
      </c>
      <c r="I7" s="61" t="str">
        <f>TRIM(_xlfn.TEXTJOIN(CHAR(9),TRUE,A7:H7))</f>
        <v>#fix	$node	X	Y	Z	RX	RY	RZ</v>
      </c>
    </row>
    <row r="8" spans="1:9" x14ac:dyDescent="0.3">
      <c r="A8" s="61" t="s">
        <v>207</v>
      </c>
      <c r="B8" s="61"/>
      <c r="C8" s="61"/>
      <c r="D8" s="61"/>
      <c r="E8" s="61"/>
      <c r="F8" s="61"/>
      <c r="G8" s="61"/>
      <c r="H8" s="61"/>
      <c r="I8" s="61" t="str">
        <f>TRIM(_xlfn.TEXTJOIN(CHAR(9),TRUE,A8:H8))</f>
        <v># Ground floor nodes</v>
      </c>
    </row>
    <row r="9" spans="1:9" x14ac:dyDescent="0.3">
      <c r="A9" s="65" t="s">
        <v>47</v>
      </c>
      <c r="B9" s="66">
        <v>13</v>
      </c>
      <c r="C9" s="68">
        <v>1</v>
      </c>
      <c r="D9" s="68">
        <v>1</v>
      </c>
      <c r="E9" s="68">
        <v>1</v>
      </c>
      <c r="F9" s="68">
        <v>1</v>
      </c>
      <c r="G9" s="66">
        <v>1</v>
      </c>
      <c r="H9" s="66">
        <v>1</v>
      </c>
      <c r="I9" s="66" t="str">
        <f>TRIM(_xlfn.TEXTJOIN(CHAR(9),TRUE,A9:H9))</f>
        <v>fix	13	1	1	1	1	1	1</v>
      </c>
    </row>
    <row r="10" spans="1:9" x14ac:dyDescent="0.3">
      <c r="A10" s="65" t="s">
        <v>47</v>
      </c>
      <c r="B10" s="66">
        <v>14</v>
      </c>
      <c r="C10" s="68">
        <v>1</v>
      </c>
      <c r="D10" s="68">
        <v>1</v>
      </c>
      <c r="E10" s="68">
        <v>1</v>
      </c>
      <c r="F10" s="68">
        <v>1</v>
      </c>
      <c r="G10" s="66">
        <v>1</v>
      </c>
      <c r="H10" s="66">
        <v>1</v>
      </c>
      <c r="I10" s="66" t="str">
        <f>TRIM(_xlfn.TEXTJOIN(CHAR(9),TRUE,A10:H10))</f>
        <v>fix	14	1	1	1	1	1	1</v>
      </c>
    </row>
    <row r="11" spans="1:9" x14ac:dyDescent="0.3">
      <c r="A11" s="66" t="s">
        <v>47</v>
      </c>
      <c r="B11" s="66">
        <v>15</v>
      </c>
      <c r="C11" s="68">
        <v>1</v>
      </c>
      <c r="D11" s="68">
        <v>1</v>
      </c>
      <c r="E11" s="68">
        <v>1</v>
      </c>
      <c r="F11" s="68">
        <v>1</v>
      </c>
      <c r="G11" s="68">
        <v>1</v>
      </c>
      <c r="H11" s="68">
        <v>1</v>
      </c>
      <c r="I11" s="66" t="str">
        <f t="shared" ref="I11:I58" si="0">TRIM(_xlfn.TEXTJOIN(CHAR(9),TRUE,A11:H11))</f>
        <v>fix	15	1	1	1	1	1	1</v>
      </c>
    </row>
    <row r="12" spans="1:9" x14ac:dyDescent="0.3">
      <c r="A12" s="66" t="s">
        <v>47</v>
      </c>
      <c r="B12" s="66">
        <v>16</v>
      </c>
      <c r="C12" s="68">
        <v>1</v>
      </c>
      <c r="D12" s="68">
        <v>1</v>
      </c>
      <c r="E12" s="68">
        <v>1</v>
      </c>
      <c r="F12" s="68">
        <v>1</v>
      </c>
      <c r="G12" s="68">
        <v>1</v>
      </c>
      <c r="H12" s="68">
        <v>1</v>
      </c>
      <c r="I12" s="66" t="str">
        <f t="shared" si="0"/>
        <v>fix	16	1	1	1	1	1	1</v>
      </c>
    </row>
    <row r="13" spans="1:9" x14ac:dyDescent="0.3">
      <c r="A13" s="66" t="s">
        <v>47</v>
      </c>
      <c r="B13" s="66">
        <v>17</v>
      </c>
      <c r="C13" s="68">
        <v>1</v>
      </c>
      <c r="D13" s="68">
        <v>1</v>
      </c>
      <c r="E13" s="68">
        <v>1</v>
      </c>
      <c r="F13" s="68">
        <v>1</v>
      </c>
      <c r="G13" s="68">
        <v>1</v>
      </c>
      <c r="H13" s="68">
        <v>1</v>
      </c>
      <c r="I13" s="66" t="str">
        <f t="shared" si="0"/>
        <v>fix	17	1	1	1	1	1	1</v>
      </c>
    </row>
    <row r="14" spans="1:9" x14ac:dyDescent="0.3">
      <c r="A14" s="66" t="s">
        <v>47</v>
      </c>
      <c r="B14" s="66">
        <v>18</v>
      </c>
      <c r="C14" s="68">
        <v>1</v>
      </c>
      <c r="D14" s="68">
        <v>1</v>
      </c>
      <c r="E14" s="68">
        <v>1</v>
      </c>
      <c r="F14" s="68">
        <v>1</v>
      </c>
      <c r="G14" s="68">
        <v>1</v>
      </c>
      <c r="H14" s="68">
        <v>1</v>
      </c>
      <c r="I14" s="66" t="str">
        <f t="shared" si="0"/>
        <v>fix	18	1	1	1	1	1	1</v>
      </c>
    </row>
    <row r="15" spans="1:9" x14ac:dyDescent="0.3">
      <c r="A15" s="66" t="s">
        <v>47</v>
      </c>
      <c r="B15" s="66">
        <v>69</v>
      </c>
      <c r="C15" s="68">
        <v>1</v>
      </c>
      <c r="D15" s="68">
        <v>1</v>
      </c>
      <c r="E15" s="68">
        <v>1</v>
      </c>
      <c r="F15" s="68">
        <v>1</v>
      </c>
      <c r="G15" s="68">
        <v>1</v>
      </c>
      <c r="H15" s="68">
        <v>1</v>
      </c>
      <c r="I15" s="66" t="str">
        <f t="shared" si="0"/>
        <v>fix	69	1	1	1	1	1	1</v>
      </c>
    </row>
    <row r="16" spans="1:9" x14ac:dyDescent="0.3">
      <c r="A16" s="66" t="s">
        <v>47</v>
      </c>
      <c r="B16" s="66">
        <v>25</v>
      </c>
      <c r="C16" s="68">
        <v>1</v>
      </c>
      <c r="D16" s="68">
        <v>1</v>
      </c>
      <c r="E16" s="68">
        <v>1</v>
      </c>
      <c r="F16" s="68">
        <v>1</v>
      </c>
      <c r="G16" s="68">
        <v>1</v>
      </c>
      <c r="H16" s="68">
        <v>1</v>
      </c>
      <c r="I16" s="66" t="str">
        <f t="shared" si="0"/>
        <v>fix	25	1	1	1	1	1	1</v>
      </c>
    </row>
    <row r="17" spans="1:9" x14ac:dyDescent="0.3">
      <c r="A17" s="66" t="s">
        <v>47</v>
      </c>
      <c r="B17" s="66">
        <v>26</v>
      </c>
      <c r="C17" s="68">
        <v>1</v>
      </c>
      <c r="D17" s="68">
        <v>1</v>
      </c>
      <c r="E17" s="68">
        <v>1</v>
      </c>
      <c r="F17" s="68">
        <v>1</v>
      </c>
      <c r="G17" s="68">
        <v>1</v>
      </c>
      <c r="H17" s="68">
        <v>1</v>
      </c>
      <c r="I17" s="66" t="str">
        <f t="shared" si="0"/>
        <v>fix	26	1	1	1	1	1	1</v>
      </c>
    </row>
    <row r="18" spans="1:9" x14ac:dyDescent="0.3">
      <c r="A18" s="66" t="s">
        <v>47</v>
      </c>
      <c r="B18" s="66">
        <v>27</v>
      </c>
      <c r="C18" s="68">
        <v>1</v>
      </c>
      <c r="D18" s="68">
        <v>1</v>
      </c>
      <c r="E18" s="68">
        <v>1</v>
      </c>
      <c r="F18" s="68">
        <v>1</v>
      </c>
      <c r="G18" s="68">
        <v>1</v>
      </c>
      <c r="H18" s="68">
        <v>1</v>
      </c>
      <c r="I18" s="66" t="str">
        <f t="shared" si="0"/>
        <v>fix	27	1	1	1	1	1	1</v>
      </c>
    </row>
    <row r="19" spans="1:9" x14ac:dyDescent="0.3">
      <c r="A19" s="66" t="s">
        <v>47</v>
      </c>
      <c r="B19" s="66">
        <v>78</v>
      </c>
      <c r="C19" s="68">
        <v>1</v>
      </c>
      <c r="D19" s="68">
        <v>1</v>
      </c>
      <c r="E19" s="68">
        <v>1</v>
      </c>
      <c r="F19" s="68">
        <v>1</v>
      </c>
      <c r="G19" s="68">
        <v>1</v>
      </c>
      <c r="H19" s="68">
        <v>1</v>
      </c>
      <c r="I19" s="66" t="str">
        <f t="shared" si="0"/>
        <v>fix	78	1	1	1	1	1	1</v>
      </c>
    </row>
    <row r="20" spans="1:9" x14ac:dyDescent="0.3">
      <c r="A20" s="66" t="s">
        <v>47</v>
      </c>
      <c r="B20" s="66">
        <v>36</v>
      </c>
      <c r="C20" s="68">
        <v>1</v>
      </c>
      <c r="D20" s="68">
        <v>1</v>
      </c>
      <c r="E20" s="68">
        <v>1</v>
      </c>
      <c r="F20" s="68">
        <v>1</v>
      </c>
      <c r="G20" s="68">
        <v>1</v>
      </c>
      <c r="H20" s="68">
        <v>1</v>
      </c>
      <c r="I20" s="66" t="str">
        <f t="shared" si="0"/>
        <v>fix	36	1	1	1	1	1	1</v>
      </c>
    </row>
    <row r="21" spans="1:9" x14ac:dyDescent="0.3">
      <c r="A21" s="66" t="s">
        <v>47</v>
      </c>
      <c r="B21" s="66">
        <v>37</v>
      </c>
      <c r="C21" s="68">
        <v>1</v>
      </c>
      <c r="D21" s="68">
        <v>1</v>
      </c>
      <c r="E21" s="68">
        <v>1</v>
      </c>
      <c r="F21" s="68">
        <v>1</v>
      </c>
      <c r="G21" s="68">
        <v>1</v>
      </c>
      <c r="H21" s="68">
        <v>1</v>
      </c>
      <c r="I21" s="66" t="str">
        <f t="shared" si="0"/>
        <v>fix	37	1	1	1	1	1	1</v>
      </c>
    </row>
    <row r="22" spans="1:9" x14ac:dyDescent="0.3">
      <c r="A22" s="66" t="s">
        <v>47</v>
      </c>
      <c r="B22" s="66">
        <v>38</v>
      </c>
      <c r="C22" s="68">
        <v>1</v>
      </c>
      <c r="D22" s="68">
        <v>1</v>
      </c>
      <c r="E22" s="68">
        <v>1</v>
      </c>
      <c r="F22" s="68">
        <v>1</v>
      </c>
      <c r="G22" s="68">
        <v>1</v>
      </c>
      <c r="H22" s="68">
        <v>1</v>
      </c>
      <c r="I22" s="66" t="str">
        <f t="shared" si="0"/>
        <v>fix	38	1	1	1	1	1	1</v>
      </c>
    </row>
    <row r="23" spans="1:9" x14ac:dyDescent="0.3">
      <c r="A23" s="66" t="s">
        <v>47</v>
      </c>
      <c r="B23" s="66">
        <v>39</v>
      </c>
      <c r="C23" s="68">
        <v>1</v>
      </c>
      <c r="D23" s="68">
        <v>1</v>
      </c>
      <c r="E23" s="68">
        <v>1</v>
      </c>
      <c r="F23" s="68">
        <v>1</v>
      </c>
      <c r="G23" s="68">
        <v>1</v>
      </c>
      <c r="H23" s="68">
        <v>1</v>
      </c>
      <c r="I23" s="66" t="str">
        <f t="shared" si="0"/>
        <v>fix	39	1	1	1	1	1	1</v>
      </c>
    </row>
    <row r="24" spans="1:9" x14ac:dyDescent="0.3">
      <c r="A24" s="66" t="s">
        <v>47</v>
      </c>
      <c r="B24" s="66">
        <v>87</v>
      </c>
      <c r="C24" s="68">
        <v>1</v>
      </c>
      <c r="D24" s="68">
        <v>1</v>
      </c>
      <c r="E24" s="68">
        <v>1</v>
      </c>
      <c r="F24" s="68">
        <v>1</v>
      </c>
      <c r="G24" s="68">
        <v>1</v>
      </c>
      <c r="H24" s="68">
        <v>1</v>
      </c>
      <c r="I24" s="66" t="str">
        <f t="shared" si="0"/>
        <v>fix	87	1	1	1	1	1	1</v>
      </c>
    </row>
    <row r="25" spans="1:9" x14ac:dyDescent="0.3">
      <c r="A25" s="66" t="s">
        <v>47</v>
      </c>
      <c r="B25" s="66">
        <v>42</v>
      </c>
      <c r="C25" s="68">
        <v>1</v>
      </c>
      <c r="D25" s="68">
        <v>1</v>
      </c>
      <c r="E25" s="68">
        <v>1</v>
      </c>
      <c r="F25" s="68">
        <v>1</v>
      </c>
      <c r="G25" s="68">
        <v>1</v>
      </c>
      <c r="H25" s="68">
        <v>1</v>
      </c>
      <c r="I25" s="66" t="str">
        <f t="shared" si="0"/>
        <v>fix	42	1	1	1	1	1	1</v>
      </c>
    </row>
    <row r="26" spans="1:9" x14ac:dyDescent="0.3">
      <c r="A26" s="66" t="s">
        <v>47</v>
      </c>
      <c r="B26" s="66">
        <v>66</v>
      </c>
      <c r="C26" s="68">
        <v>1</v>
      </c>
      <c r="D26" s="68">
        <v>1</v>
      </c>
      <c r="E26" s="68">
        <v>1</v>
      </c>
      <c r="F26" s="68">
        <v>1</v>
      </c>
      <c r="G26" s="68">
        <v>1</v>
      </c>
      <c r="H26" s="68">
        <v>1</v>
      </c>
      <c r="I26" s="66" t="str">
        <f t="shared" si="0"/>
        <v>fix	66	1	1	1	1	1	1</v>
      </c>
    </row>
    <row r="27" spans="1:9" x14ac:dyDescent="0.3">
      <c r="A27" s="66" t="s">
        <v>47</v>
      </c>
      <c r="B27" s="66">
        <v>90</v>
      </c>
      <c r="C27" s="68">
        <v>1</v>
      </c>
      <c r="D27" s="68">
        <v>1</v>
      </c>
      <c r="E27" s="68">
        <v>1</v>
      </c>
      <c r="F27" s="68">
        <v>1</v>
      </c>
      <c r="G27" s="68">
        <v>1</v>
      </c>
      <c r="H27" s="68">
        <v>1</v>
      </c>
      <c r="I27" s="66" t="str">
        <f t="shared" si="0"/>
        <v>fix	90	1	1	1	1	1	1</v>
      </c>
    </row>
    <row r="28" spans="1:9" x14ac:dyDescent="0.3">
      <c r="A28" s="66" t="s">
        <v>47</v>
      </c>
      <c r="B28" s="66">
        <v>49</v>
      </c>
      <c r="C28" s="68">
        <v>1</v>
      </c>
      <c r="D28" s="68">
        <v>1</v>
      </c>
      <c r="E28" s="68">
        <v>1</v>
      </c>
      <c r="F28" s="68">
        <v>1</v>
      </c>
      <c r="G28" s="68">
        <v>1</v>
      </c>
      <c r="H28" s="68">
        <v>1</v>
      </c>
      <c r="I28" s="66" t="str">
        <f t="shared" si="0"/>
        <v>fix	49	1	1	1	1	1	1</v>
      </c>
    </row>
    <row r="29" spans="1:9" x14ac:dyDescent="0.3">
      <c r="A29" s="66" t="s">
        <v>47</v>
      </c>
      <c r="B29" s="66">
        <v>50</v>
      </c>
      <c r="C29" s="68">
        <v>1</v>
      </c>
      <c r="D29" s="68">
        <v>1</v>
      </c>
      <c r="E29" s="68">
        <v>1</v>
      </c>
      <c r="F29" s="68">
        <v>1</v>
      </c>
      <c r="G29" s="68">
        <v>1</v>
      </c>
      <c r="H29" s="68">
        <v>1</v>
      </c>
      <c r="I29" s="66" t="str">
        <f t="shared" si="0"/>
        <v>fix	50	1	1	1	1	1	1</v>
      </c>
    </row>
    <row r="30" spans="1:9" x14ac:dyDescent="0.3">
      <c r="A30" s="66" t="s">
        <v>47</v>
      </c>
      <c r="B30" s="66">
        <v>51</v>
      </c>
      <c r="C30" s="68">
        <v>1</v>
      </c>
      <c r="D30" s="68">
        <v>1</v>
      </c>
      <c r="E30" s="68">
        <v>1</v>
      </c>
      <c r="F30" s="68">
        <v>1</v>
      </c>
      <c r="G30" s="68">
        <v>1</v>
      </c>
      <c r="H30" s="68">
        <v>1</v>
      </c>
      <c r="I30" s="66" t="str">
        <f t="shared" si="0"/>
        <v>fix	51	1	1	1	1	1	1</v>
      </c>
    </row>
    <row r="31" spans="1:9" x14ac:dyDescent="0.3">
      <c r="A31" s="66" t="s">
        <v>47</v>
      </c>
      <c r="B31" s="66">
        <v>77</v>
      </c>
      <c r="C31" s="68">
        <v>1</v>
      </c>
      <c r="D31" s="68">
        <v>1</v>
      </c>
      <c r="E31" s="68">
        <v>1</v>
      </c>
      <c r="F31" s="68">
        <v>1</v>
      </c>
      <c r="G31" s="68">
        <v>1</v>
      </c>
      <c r="H31" s="68">
        <v>1</v>
      </c>
      <c r="I31" s="66" t="str">
        <f t="shared" si="0"/>
        <v>fix	77	1	1	1	1	1	1</v>
      </c>
    </row>
    <row r="32" spans="1:9" x14ac:dyDescent="0.3">
      <c r="A32" s="66" t="s">
        <v>47</v>
      </c>
      <c r="B32" s="66">
        <v>67</v>
      </c>
      <c r="C32" s="68">
        <v>1</v>
      </c>
      <c r="D32" s="68">
        <v>1</v>
      </c>
      <c r="E32" s="68">
        <v>1</v>
      </c>
      <c r="F32" s="68">
        <v>1</v>
      </c>
      <c r="G32" s="68">
        <v>1</v>
      </c>
      <c r="H32" s="68">
        <v>1</v>
      </c>
      <c r="I32" s="66" t="str">
        <f t="shared" si="0"/>
        <v>fix	67	1	1	1	1	1	1</v>
      </c>
    </row>
    <row r="33" spans="1:9" x14ac:dyDescent="0.3">
      <c r="A33" s="66" t="s">
        <v>47</v>
      </c>
      <c r="B33" s="66">
        <v>97</v>
      </c>
      <c r="C33" s="68">
        <v>1</v>
      </c>
      <c r="D33" s="68">
        <v>1</v>
      </c>
      <c r="E33" s="68">
        <v>1</v>
      </c>
      <c r="F33" s="68">
        <v>1</v>
      </c>
      <c r="G33" s="68">
        <v>1</v>
      </c>
      <c r="H33" s="68">
        <v>1</v>
      </c>
      <c r="I33" s="66" t="str">
        <f t="shared" si="0"/>
        <v>fix	97	1	1	1	1	1	1</v>
      </c>
    </row>
    <row r="34" spans="1:9" x14ac:dyDescent="0.3">
      <c r="A34" s="66" t="s">
        <v>47</v>
      </c>
      <c r="B34" s="66">
        <v>86</v>
      </c>
      <c r="C34" s="68">
        <v>1</v>
      </c>
      <c r="D34" s="68">
        <v>1</v>
      </c>
      <c r="E34" s="68">
        <v>1</v>
      </c>
      <c r="F34" s="68">
        <v>1</v>
      </c>
      <c r="G34" s="68">
        <v>1</v>
      </c>
      <c r="H34" s="68">
        <v>1</v>
      </c>
      <c r="I34" s="66" t="str">
        <f t="shared" si="0"/>
        <v>fix	86	1	1	1	1	1	1</v>
      </c>
    </row>
    <row r="35" spans="1:9" x14ac:dyDescent="0.3">
      <c r="A35" s="65" t="s">
        <v>47</v>
      </c>
      <c r="B35" s="66">
        <v>68</v>
      </c>
      <c r="C35" s="68">
        <v>1</v>
      </c>
      <c r="D35" s="68">
        <v>1</v>
      </c>
      <c r="E35" s="68">
        <v>1</v>
      </c>
      <c r="F35" s="68">
        <v>1</v>
      </c>
      <c r="G35" s="68">
        <v>1</v>
      </c>
      <c r="H35" s="68">
        <v>1</v>
      </c>
      <c r="I35" s="66" t="str">
        <f t="shared" si="0"/>
        <v>fix	68	1	1	1	1	1	1</v>
      </c>
    </row>
    <row r="36" spans="1:9" x14ac:dyDescent="0.3">
      <c r="A36" s="66" t="s">
        <v>47</v>
      </c>
      <c r="B36" s="66">
        <v>54</v>
      </c>
      <c r="C36" s="68">
        <v>1</v>
      </c>
      <c r="D36" s="68">
        <v>1</v>
      </c>
      <c r="E36" s="68">
        <v>1</v>
      </c>
      <c r="F36" s="68">
        <v>1</v>
      </c>
      <c r="G36" s="68">
        <v>1</v>
      </c>
      <c r="H36" s="68">
        <v>1</v>
      </c>
      <c r="I36" s="66" t="str">
        <f t="shared" si="0"/>
        <v>fix	54	1	1	1	1	1	1</v>
      </c>
    </row>
    <row r="37" spans="1:9" x14ac:dyDescent="0.3">
      <c r="A37" s="66" t="s">
        <v>47</v>
      </c>
      <c r="B37" s="66">
        <v>99</v>
      </c>
      <c r="C37" s="68">
        <v>1</v>
      </c>
      <c r="D37" s="68">
        <v>1</v>
      </c>
      <c r="E37" s="68">
        <v>1</v>
      </c>
      <c r="F37" s="68">
        <v>1</v>
      </c>
      <c r="G37" s="68">
        <v>1</v>
      </c>
      <c r="H37" s="68">
        <v>1</v>
      </c>
      <c r="I37" s="66" t="str">
        <f t="shared" si="0"/>
        <v>fix	99	1	1	1	1	1	1</v>
      </c>
    </row>
    <row r="38" spans="1:9" x14ac:dyDescent="0.3">
      <c r="A38" s="66" t="s">
        <v>47</v>
      </c>
      <c r="B38" s="66">
        <v>85</v>
      </c>
      <c r="C38" s="68">
        <v>1</v>
      </c>
      <c r="D38" s="68">
        <v>1</v>
      </c>
      <c r="E38" s="68">
        <v>1</v>
      </c>
      <c r="F38" s="68">
        <v>1</v>
      </c>
      <c r="G38" s="68">
        <v>1</v>
      </c>
      <c r="H38" s="68">
        <v>1</v>
      </c>
      <c r="I38" s="66" t="str">
        <f t="shared" si="0"/>
        <v>fix	85	1	1	1	1	1	1</v>
      </c>
    </row>
    <row r="39" spans="1:9" x14ac:dyDescent="0.3">
      <c r="A39" s="66" t="s">
        <v>47</v>
      </c>
      <c r="B39" s="66">
        <v>102</v>
      </c>
      <c r="C39" s="68">
        <v>1</v>
      </c>
      <c r="D39" s="68">
        <v>1</v>
      </c>
      <c r="E39" s="68">
        <v>1</v>
      </c>
      <c r="F39" s="68">
        <v>1</v>
      </c>
      <c r="G39" s="68">
        <v>1</v>
      </c>
      <c r="H39" s="68">
        <v>1</v>
      </c>
      <c r="I39" s="66" t="str">
        <f t="shared" si="0"/>
        <v>fix	102	1	1	1	1	1	1</v>
      </c>
    </row>
    <row r="40" spans="1:9" x14ac:dyDescent="0.3">
      <c r="A40" s="66" t="s">
        <v>47</v>
      </c>
      <c r="B40" s="66">
        <v>76</v>
      </c>
      <c r="C40" s="68">
        <v>1</v>
      </c>
      <c r="D40" s="68">
        <v>1</v>
      </c>
      <c r="E40" s="68">
        <v>1</v>
      </c>
      <c r="F40" s="68">
        <v>1</v>
      </c>
      <c r="G40" s="68">
        <v>1</v>
      </c>
      <c r="H40" s="68">
        <v>1</v>
      </c>
      <c r="I40" s="66" t="str">
        <f t="shared" si="0"/>
        <v>fix	76	1	1	1	1	1	1</v>
      </c>
    </row>
    <row r="41" spans="1:9" x14ac:dyDescent="0.3">
      <c r="A41" s="66" t="s">
        <v>47</v>
      </c>
      <c r="B41" s="66">
        <v>57</v>
      </c>
      <c r="C41" s="68">
        <v>1</v>
      </c>
      <c r="D41" s="68">
        <v>1</v>
      </c>
      <c r="E41" s="68">
        <v>1</v>
      </c>
      <c r="F41" s="68">
        <v>1</v>
      </c>
      <c r="G41" s="68">
        <v>1</v>
      </c>
      <c r="H41" s="68">
        <v>1</v>
      </c>
      <c r="I41" s="66" t="str">
        <f t="shared" si="0"/>
        <v>fix	57	1	1	1	1	1	1</v>
      </c>
    </row>
    <row r="42" spans="1:9" x14ac:dyDescent="0.3">
      <c r="A42" s="66" t="s">
        <v>47</v>
      </c>
      <c r="B42" s="66">
        <v>98</v>
      </c>
      <c r="C42" s="68">
        <v>1</v>
      </c>
      <c r="D42" s="68">
        <v>1</v>
      </c>
      <c r="E42" s="68">
        <v>1</v>
      </c>
      <c r="F42" s="68">
        <v>1</v>
      </c>
      <c r="G42" s="68">
        <v>1</v>
      </c>
      <c r="H42" s="68">
        <v>1</v>
      </c>
      <c r="I42" s="66" t="str">
        <f t="shared" si="0"/>
        <v>fix	98	1	1	1	1	1	1</v>
      </c>
    </row>
    <row r="43" spans="1:9" x14ac:dyDescent="0.3">
      <c r="I43" t="str">
        <f t="shared" si="0"/>
        <v/>
      </c>
    </row>
    <row r="44" spans="1:9" s="61" customFormat="1" x14ac:dyDescent="0.3">
      <c r="A44" s="61" t="s">
        <v>0</v>
      </c>
      <c r="I44" s="61" t="str">
        <f t="shared" si="0"/>
        <v>#Fictitious nodes floor 1</v>
      </c>
    </row>
    <row r="45" spans="1:9" x14ac:dyDescent="0.3">
      <c r="A45" s="66" t="s">
        <v>47</v>
      </c>
      <c r="B45" s="66">
        <v>301</v>
      </c>
      <c r="C45" s="66">
        <v>0</v>
      </c>
      <c r="D45" s="66">
        <v>0</v>
      </c>
      <c r="E45" s="66">
        <v>1</v>
      </c>
      <c r="F45" s="66">
        <v>0</v>
      </c>
      <c r="G45" s="66">
        <v>0</v>
      </c>
      <c r="H45" s="66">
        <v>0</v>
      </c>
      <c r="I45" s="66" t="str">
        <f t="shared" si="0"/>
        <v>fix	301	0	0	1	0	0	0</v>
      </c>
    </row>
    <row r="46" spans="1:9" x14ac:dyDescent="0.3">
      <c r="A46" s="66" t="s">
        <v>47</v>
      </c>
      <c r="B46" s="66">
        <v>302</v>
      </c>
      <c r="C46" s="66">
        <v>0</v>
      </c>
      <c r="D46" s="66">
        <v>0</v>
      </c>
      <c r="E46" s="66">
        <v>1</v>
      </c>
      <c r="F46" s="66">
        <v>0</v>
      </c>
      <c r="G46" s="66">
        <v>0</v>
      </c>
      <c r="H46" s="66">
        <v>0</v>
      </c>
      <c r="I46" s="66" t="str">
        <f t="shared" si="0"/>
        <v>fix	302	0	0	1	0	0	0</v>
      </c>
    </row>
    <row r="47" spans="1:9" x14ac:dyDescent="0.3">
      <c r="A47" s="66" t="s">
        <v>47</v>
      </c>
      <c r="B47" s="66">
        <v>303</v>
      </c>
      <c r="C47" s="66">
        <v>0</v>
      </c>
      <c r="D47" s="66">
        <v>0</v>
      </c>
      <c r="E47" s="66">
        <v>1</v>
      </c>
      <c r="F47" s="66">
        <v>0</v>
      </c>
      <c r="G47" s="66">
        <v>0</v>
      </c>
      <c r="H47" s="66">
        <v>0</v>
      </c>
      <c r="I47" s="66" t="str">
        <f t="shared" si="0"/>
        <v>fix	303	0	0	1	0	0	0</v>
      </c>
    </row>
    <row r="48" spans="1:9" x14ac:dyDescent="0.3">
      <c r="A48" s="66" t="s">
        <v>47</v>
      </c>
      <c r="B48" s="66">
        <v>304</v>
      </c>
      <c r="C48" s="66">
        <v>0</v>
      </c>
      <c r="D48" s="66">
        <v>0</v>
      </c>
      <c r="E48" s="66">
        <v>1</v>
      </c>
      <c r="F48" s="66">
        <v>0</v>
      </c>
      <c r="G48" s="66">
        <v>0</v>
      </c>
      <c r="H48" s="66">
        <v>0</v>
      </c>
      <c r="I48" s="66" t="str">
        <f t="shared" si="0"/>
        <v>fix	304	0	0	1	0	0	0</v>
      </c>
    </row>
    <row r="49" spans="1:9" x14ac:dyDescent="0.3">
      <c r="A49" s="66" t="s">
        <v>47</v>
      </c>
      <c r="B49" s="66">
        <v>305</v>
      </c>
      <c r="C49" s="66">
        <v>0</v>
      </c>
      <c r="D49" s="66">
        <v>0</v>
      </c>
      <c r="E49" s="66">
        <v>1</v>
      </c>
      <c r="F49" s="66">
        <v>0</v>
      </c>
      <c r="G49" s="66">
        <v>0</v>
      </c>
      <c r="H49" s="66">
        <v>0</v>
      </c>
      <c r="I49" s="66" t="str">
        <f t="shared" si="0"/>
        <v>fix	305	0	0	1	0	0	0</v>
      </c>
    </row>
    <row r="50" spans="1:9" x14ac:dyDescent="0.3">
      <c r="A50" s="66" t="s">
        <v>47</v>
      </c>
      <c r="B50" s="66">
        <v>306</v>
      </c>
      <c r="C50" s="66">
        <v>0</v>
      </c>
      <c r="D50" s="66">
        <v>0</v>
      </c>
      <c r="E50" s="66">
        <v>1</v>
      </c>
      <c r="F50" s="66">
        <v>0</v>
      </c>
      <c r="G50" s="66">
        <v>0</v>
      </c>
      <c r="H50" s="66">
        <v>0</v>
      </c>
      <c r="I50" s="66" t="str">
        <f t="shared" si="0"/>
        <v>fix	306	0	0	1	0	0	0</v>
      </c>
    </row>
    <row r="51" spans="1:9" x14ac:dyDescent="0.3">
      <c r="A51" s="66" t="s">
        <v>47</v>
      </c>
      <c r="B51" s="66">
        <v>307</v>
      </c>
      <c r="C51" s="66">
        <v>0</v>
      </c>
      <c r="D51" s="66">
        <v>0</v>
      </c>
      <c r="E51" s="66">
        <v>1</v>
      </c>
      <c r="F51" s="66">
        <v>0</v>
      </c>
      <c r="G51" s="66">
        <v>0</v>
      </c>
      <c r="H51" s="66">
        <v>0</v>
      </c>
      <c r="I51" s="66" t="str">
        <f t="shared" si="0"/>
        <v>fix	307	0	0	1	0	0	0</v>
      </c>
    </row>
    <row r="52" spans="1:9" x14ac:dyDescent="0.3">
      <c r="I52" t="str">
        <f t="shared" si="0"/>
        <v/>
      </c>
    </row>
    <row r="53" spans="1:9" s="61" customFormat="1" x14ac:dyDescent="0.3">
      <c r="A53" s="61" t="s">
        <v>1</v>
      </c>
      <c r="I53" s="61" t="str">
        <f t="shared" si="0"/>
        <v># Fictitious nodes floor 2</v>
      </c>
    </row>
    <row r="54" spans="1:9" x14ac:dyDescent="0.3">
      <c r="A54" s="66" t="s">
        <v>47</v>
      </c>
      <c r="B54" s="66">
        <v>310</v>
      </c>
      <c r="C54" s="66">
        <v>0</v>
      </c>
      <c r="D54" s="66">
        <v>0</v>
      </c>
      <c r="E54" s="66">
        <v>1</v>
      </c>
      <c r="F54" s="66">
        <v>0</v>
      </c>
      <c r="G54" s="66">
        <v>0</v>
      </c>
      <c r="H54" s="66">
        <v>0</v>
      </c>
      <c r="I54" s="66" t="str">
        <f t="shared" si="0"/>
        <v>fix	310	0	0	1	0	0	0</v>
      </c>
    </row>
    <row r="55" spans="1:9" x14ac:dyDescent="0.3">
      <c r="A55" s="66" t="s">
        <v>47</v>
      </c>
      <c r="B55" s="66">
        <v>311</v>
      </c>
      <c r="C55" s="66">
        <v>0</v>
      </c>
      <c r="D55" s="66">
        <v>0</v>
      </c>
      <c r="E55" s="66">
        <v>1</v>
      </c>
      <c r="F55" s="66">
        <v>0</v>
      </c>
      <c r="G55" s="66">
        <v>0</v>
      </c>
      <c r="H55" s="66">
        <v>0</v>
      </c>
      <c r="I55" s="66" t="str">
        <f t="shared" si="0"/>
        <v>fix	311	0	0	1	0	0	0</v>
      </c>
    </row>
    <row r="56" spans="1:9" x14ac:dyDescent="0.3">
      <c r="A56" s="66" t="s">
        <v>47</v>
      </c>
      <c r="B56" s="66">
        <v>312</v>
      </c>
      <c r="C56" s="66">
        <v>0</v>
      </c>
      <c r="D56" s="66">
        <v>0</v>
      </c>
      <c r="E56" s="66">
        <v>1</v>
      </c>
      <c r="F56" s="66">
        <v>0</v>
      </c>
      <c r="G56" s="66">
        <v>0</v>
      </c>
      <c r="H56" s="66">
        <v>0</v>
      </c>
      <c r="I56" s="66" t="str">
        <f t="shared" si="0"/>
        <v>fix	312	0	0	1	0	0	0</v>
      </c>
    </row>
    <row r="57" spans="1:9" x14ac:dyDescent="0.3">
      <c r="A57" s="66" t="s">
        <v>47</v>
      </c>
      <c r="B57" s="66">
        <v>313</v>
      </c>
      <c r="C57" s="66">
        <v>0</v>
      </c>
      <c r="D57" s="66">
        <v>0</v>
      </c>
      <c r="E57" s="66">
        <v>1</v>
      </c>
      <c r="F57" s="66">
        <v>0</v>
      </c>
      <c r="G57" s="66">
        <v>0</v>
      </c>
      <c r="H57" s="66">
        <v>0</v>
      </c>
      <c r="I57" s="66" t="str">
        <f t="shared" si="0"/>
        <v>fix	313	0	0	1	0	0	0</v>
      </c>
    </row>
    <row r="58" spans="1:9" x14ac:dyDescent="0.3">
      <c r="A58" s="66" t="s">
        <v>47</v>
      </c>
      <c r="B58" s="66">
        <v>314</v>
      </c>
      <c r="C58" s="66">
        <v>0</v>
      </c>
      <c r="D58" s="66">
        <v>0</v>
      </c>
      <c r="E58" s="66">
        <v>1</v>
      </c>
      <c r="F58" s="66">
        <v>0</v>
      </c>
      <c r="G58" s="66">
        <v>0</v>
      </c>
      <c r="H58" s="66">
        <v>0</v>
      </c>
      <c r="I58" s="66" t="str">
        <f t="shared" si="0"/>
        <v>fix	314	0	0	1	0	0	0</v>
      </c>
    </row>
  </sheetData>
  <mergeCells count="1">
    <mergeCell ref="D3:F3"/>
  </mergeCells>
  <pageMargins left="0.7" right="0.7" top="0.78740157499999996" bottom="0.78740157499999996" header="0.3" footer="0.3"/>
  <pageSetup paperSize="9" orientation="portrait" r:id="rId1"/>
  <headerFooter>
    <oddHeader>&amp;LMaster Thesis 2023/2024&amp;CSt. Lawrence Parish House,
Petrinja, Croatia&amp;R&amp;G</oddHeader>
    <oddFooter>&amp;L&amp;A&amp;CModel: Initial state&amp;R&amp;P</oddFooter>
  </headerFooter>
  <rowBreaks count="1" manualBreakCount="1">
    <brk id="52" max="16383" man="1"/>
  </rowBreaks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8B5F-F72B-4F96-B28F-19C678CAA6DB}">
  <sheetPr>
    <tabColor theme="4"/>
  </sheetPr>
  <dimension ref="A1:K101"/>
  <sheetViews>
    <sheetView view="pageLayout" zoomScaleNormal="100" workbookViewId="0">
      <selection activeCell="E4" sqref="E4"/>
    </sheetView>
  </sheetViews>
  <sheetFormatPr baseColWidth="10" defaultColWidth="10.6640625" defaultRowHeight="14" x14ac:dyDescent="0.3"/>
  <cols>
    <col min="1" max="1" width="9.25" bestFit="1" customWidth="1"/>
    <col min="2" max="2" width="9.9140625" bestFit="1" customWidth="1"/>
    <col min="3" max="3" width="10.25" style="25" bestFit="1" customWidth="1"/>
    <col min="4" max="4" width="12.4140625" style="25" customWidth="1"/>
    <col min="5" max="5" width="42.4140625" bestFit="1" customWidth="1"/>
    <col min="6" max="11" width="0" hidden="1" customWidth="1"/>
  </cols>
  <sheetData>
    <row r="1" spans="1:11" ht="17" thickBot="1" x14ac:dyDescent="0.4">
      <c r="A1" s="60" t="s">
        <v>393</v>
      </c>
      <c r="B1" s="58"/>
      <c r="C1" s="59"/>
      <c r="D1" s="59"/>
      <c r="E1" s="58"/>
      <c r="F1" s="58"/>
    </row>
    <row r="2" spans="1:11" ht="14.5" thickTop="1" x14ac:dyDescent="0.3">
      <c r="A2" s="61" t="s">
        <v>378</v>
      </c>
      <c r="C2" t="s">
        <v>379</v>
      </c>
    </row>
    <row r="3" spans="1:11" x14ac:dyDescent="0.3">
      <c r="A3" s="61" t="s">
        <v>375</v>
      </c>
      <c r="C3" s="57">
        <f ca="1">TODAY()</f>
        <v>45304</v>
      </c>
      <c r="D3" s="57"/>
    </row>
    <row r="4" spans="1:11" x14ac:dyDescent="0.3">
      <c r="A4" s="61" t="s">
        <v>376</v>
      </c>
      <c r="C4" t="s">
        <v>381</v>
      </c>
    </row>
    <row r="5" spans="1:11" x14ac:dyDescent="0.3">
      <c r="A5" s="61" t="s">
        <v>377</v>
      </c>
      <c r="C5" t="s">
        <v>177</v>
      </c>
    </row>
    <row r="6" spans="1:11" x14ac:dyDescent="0.3">
      <c r="A6" s="61"/>
      <c r="C6"/>
      <c r="D6"/>
      <c r="E6" s="25"/>
    </row>
    <row r="7" spans="1:11" x14ac:dyDescent="0.3">
      <c r="A7" s="118" t="s">
        <v>392</v>
      </c>
      <c r="B7" s="86"/>
      <c r="C7" s="118"/>
      <c r="D7" s="118"/>
      <c r="E7" s="86" t="str">
        <f>TRIM(_xlfn.TEXTJOIN(CHAR(9),TRUE,A7:D7))</f>
        <v>#WALL TO WALL CONNECTIONS</v>
      </c>
    </row>
    <row r="8" spans="1:11" x14ac:dyDescent="0.3">
      <c r="A8" s="118" t="s">
        <v>235</v>
      </c>
      <c r="B8" s="86" t="s">
        <v>387</v>
      </c>
      <c r="C8" s="118" t="s">
        <v>388</v>
      </c>
      <c r="D8" s="118" t="s">
        <v>389</v>
      </c>
      <c r="E8" s="86" t="str">
        <f>TRIM(_xlfn.TEXTJOIN(CHAR(9),TRUE,A8:D8))</f>
        <v>equalDOF	$rNodeTag	$cNodeTag	$dof1 $dof2…</v>
      </c>
    </row>
    <row r="9" spans="1:11" x14ac:dyDescent="0.3">
      <c r="A9" s="66" t="s">
        <v>235</v>
      </c>
      <c r="B9" s="66">
        <v>1</v>
      </c>
      <c r="C9" s="66">
        <v>58</v>
      </c>
      <c r="D9" s="65" t="s">
        <v>367</v>
      </c>
      <c r="E9" s="66" t="str">
        <f t="shared" ref="E9:E40" si="0">TRIM(_xlfn.TEXTJOIN(CHAR(9),TRUE,A9:D9))</f>
        <v>equalDOF	1	58	1 2 3</v>
      </c>
      <c r="F9">
        <f ca="1">_xlfn.XLOOKUP(B9,TCL_Nodes!B:B,TCL_Nodes!E:E)</f>
        <v>6.1</v>
      </c>
      <c r="H9" t="s">
        <v>235</v>
      </c>
      <c r="I9">
        <v>1</v>
      </c>
      <c r="J9">
        <v>58</v>
      </c>
      <c r="K9" t="s">
        <v>366</v>
      </c>
    </row>
    <row r="10" spans="1:11" x14ac:dyDescent="0.3">
      <c r="A10" s="66" t="s">
        <v>235</v>
      </c>
      <c r="B10" s="66">
        <v>2</v>
      </c>
      <c r="C10" s="66">
        <v>59</v>
      </c>
      <c r="D10" s="65" t="s">
        <v>366</v>
      </c>
      <c r="E10" s="66" t="str">
        <f t="shared" si="0"/>
        <v>equalDOF	2	59	1 2</v>
      </c>
      <c r="F10">
        <f ca="1">_xlfn.XLOOKUP(B10,TCL_Nodes!B:B,TCL_Nodes!E:E)</f>
        <v>6.1</v>
      </c>
      <c r="H10" t="s">
        <v>235</v>
      </c>
      <c r="I10">
        <v>2</v>
      </c>
      <c r="J10">
        <v>59</v>
      </c>
      <c r="K10" t="s">
        <v>366</v>
      </c>
    </row>
    <row r="11" spans="1:11" x14ac:dyDescent="0.3">
      <c r="A11" s="66" t="s">
        <v>235</v>
      </c>
      <c r="B11" s="66">
        <v>5</v>
      </c>
      <c r="C11" s="66">
        <v>60</v>
      </c>
      <c r="D11" s="65" t="s">
        <v>366</v>
      </c>
      <c r="E11" s="66" t="str">
        <f t="shared" si="0"/>
        <v>equalDOF	5	60	1 2</v>
      </c>
      <c r="F11">
        <f ca="1">_xlfn.XLOOKUP(B11,TCL_Nodes!B:B,TCL_Nodes!E:E)</f>
        <v>6.1</v>
      </c>
      <c r="H11" t="s">
        <v>235</v>
      </c>
      <c r="I11">
        <v>5</v>
      </c>
      <c r="J11">
        <v>60</v>
      </c>
      <c r="K11" t="s">
        <v>366</v>
      </c>
    </row>
    <row r="12" spans="1:11" x14ac:dyDescent="0.3">
      <c r="A12" s="66" t="s">
        <v>235</v>
      </c>
      <c r="B12" s="66">
        <v>6</v>
      </c>
      <c r="C12" s="66">
        <v>61</v>
      </c>
      <c r="D12" s="65" t="s">
        <v>367</v>
      </c>
      <c r="E12" s="66" t="str">
        <f t="shared" si="0"/>
        <v>equalDOF	6	61	1 2 3</v>
      </c>
      <c r="F12">
        <f ca="1">_xlfn.XLOOKUP(B12,TCL_Nodes!B:B,TCL_Nodes!E:E)</f>
        <v>6.1</v>
      </c>
      <c r="H12" t="s">
        <v>235</v>
      </c>
      <c r="I12">
        <v>6</v>
      </c>
      <c r="J12">
        <v>61</v>
      </c>
      <c r="K12" t="s">
        <v>366</v>
      </c>
    </row>
    <row r="13" spans="1:11" x14ac:dyDescent="0.3">
      <c r="A13" s="66" t="s">
        <v>235</v>
      </c>
      <c r="B13" s="66">
        <v>7</v>
      </c>
      <c r="C13" s="66">
        <v>62</v>
      </c>
      <c r="D13" s="65" t="s">
        <v>366</v>
      </c>
      <c r="E13" s="66" t="str">
        <f t="shared" si="0"/>
        <v>equalDOF	7	62	1 2</v>
      </c>
      <c r="F13">
        <f ca="1">_xlfn.XLOOKUP(B13,TCL_Nodes!B:B,TCL_Nodes!E:E)</f>
        <v>2.7</v>
      </c>
      <c r="H13" t="s">
        <v>235</v>
      </c>
      <c r="I13">
        <v>7</v>
      </c>
      <c r="J13">
        <v>62</v>
      </c>
      <c r="K13" t="s">
        <v>366</v>
      </c>
    </row>
    <row r="14" spans="1:11" x14ac:dyDescent="0.3">
      <c r="A14" s="66" t="s">
        <v>235</v>
      </c>
      <c r="B14" s="66">
        <v>8</v>
      </c>
      <c r="C14" s="66">
        <v>63</v>
      </c>
      <c r="D14" s="65" t="s">
        <v>366</v>
      </c>
      <c r="E14" s="66" t="str">
        <f t="shared" si="0"/>
        <v>equalDOF	8	63	1 2</v>
      </c>
      <c r="F14">
        <f>_xlfn.XLOOKUP(B14,TCL_Nodes!B:B,TCL_Nodes!E:E)</f>
        <v>2.7</v>
      </c>
      <c r="H14" t="s">
        <v>235</v>
      </c>
      <c r="I14">
        <v>8</v>
      </c>
      <c r="J14">
        <v>63</v>
      </c>
      <c r="K14" t="s">
        <v>366</v>
      </c>
    </row>
    <row r="15" spans="1:11" x14ac:dyDescent="0.3">
      <c r="A15" s="66" t="s">
        <v>235</v>
      </c>
      <c r="B15" s="66">
        <v>11</v>
      </c>
      <c r="C15" s="66">
        <v>64</v>
      </c>
      <c r="D15" s="65" t="s">
        <v>366</v>
      </c>
      <c r="E15" s="66" t="str">
        <f t="shared" si="0"/>
        <v>equalDOF	11	64	1 2</v>
      </c>
      <c r="F15">
        <f ca="1">_xlfn.XLOOKUP(B15,TCL_Nodes!B:B,TCL_Nodes!E:E)</f>
        <v>2.7</v>
      </c>
      <c r="H15" t="s">
        <v>235</v>
      </c>
      <c r="I15">
        <v>11</v>
      </c>
      <c r="J15">
        <v>64</v>
      </c>
      <c r="K15" t="s">
        <v>366</v>
      </c>
    </row>
    <row r="16" spans="1:11" x14ac:dyDescent="0.3">
      <c r="A16" s="66" t="s">
        <v>235</v>
      </c>
      <c r="B16" s="66">
        <v>65</v>
      </c>
      <c r="C16" s="66">
        <v>12</v>
      </c>
      <c r="D16" s="65" t="s">
        <v>366</v>
      </c>
      <c r="E16" s="66" t="str">
        <f t="shared" si="0"/>
        <v>equalDOF	65	12	1 2</v>
      </c>
      <c r="F16">
        <f ca="1">_xlfn.XLOOKUP(B16,TCL_Nodes!B:B,TCL_Nodes!E:E)</f>
        <v>2.7</v>
      </c>
      <c r="H16" t="s">
        <v>235</v>
      </c>
      <c r="I16">
        <v>65</v>
      </c>
      <c r="J16">
        <v>12</v>
      </c>
      <c r="K16" t="s">
        <v>366</v>
      </c>
    </row>
    <row r="17" spans="1:11" x14ac:dyDescent="0.3">
      <c r="A17" s="66" t="s">
        <v>235</v>
      </c>
      <c r="B17" s="66">
        <v>19</v>
      </c>
      <c r="C17" s="66">
        <v>70</v>
      </c>
      <c r="D17" s="65" t="s">
        <v>366</v>
      </c>
      <c r="E17" s="66" t="str">
        <f t="shared" si="0"/>
        <v>equalDOF	19	70	1 2</v>
      </c>
      <c r="F17">
        <f ca="1">_xlfn.XLOOKUP(B17,TCL_Nodes!B:B,TCL_Nodes!E:E)</f>
        <v>6.1</v>
      </c>
      <c r="H17" t="s">
        <v>235</v>
      </c>
      <c r="I17">
        <v>19</v>
      </c>
      <c r="J17">
        <v>70</v>
      </c>
      <c r="K17" t="s">
        <v>366</v>
      </c>
    </row>
    <row r="18" spans="1:11" x14ac:dyDescent="0.3">
      <c r="A18" s="66" t="s">
        <v>235</v>
      </c>
      <c r="B18" s="66">
        <v>20</v>
      </c>
      <c r="C18" s="66">
        <v>71</v>
      </c>
      <c r="D18" s="65" t="s">
        <v>366</v>
      </c>
      <c r="E18" s="66" t="str">
        <f t="shared" si="0"/>
        <v>equalDOF	20	71	1 2</v>
      </c>
      <c r="F18">
        <f ca="1">_xlfn.XLOOKUP(B18,TCL_Nodes!B:B,TCL_Nodes!E:E)</f>
        <v>6.1</v>
      </c>
      <c r="H18" t="s">
        <v>235</v>
      </c>
      <c r="I18">
        <v>20</v>
      </c>
      <c r="J18">
        <v>71</v>
      </c>
      <c r="K18" t="s">
        <v>366</v>
      </c>
    </row>
    <row r="19" spans="1:11" x14ac:dyDescent="0.3">
      <c r="A19" s="66" t="s">
        <v>235</v>
      </c>
      <c r="B19" s="66">
        <v>21</v>
      </c>
      <c r="C19" s="66">
        <v>72</v>
      </c>
      <c r="D19" s="65" t="s">
        <v>367</v>
      </c>
      <c r="E19" s="66" t="str">
        <f t="shared" si="0"/>
        <v>equalDOF	21	72	1 2 3</v>
      </c>
      <c r="F19">
        <f>_xlfn.XLOOKUP(B19,TCL_Nodes!B:B,TCL_Nodes!E:E)</f>
        <v>6.1</v>
      </c>
      <c r="H19" t="s">
        <v>235</v>
      </c>
      <c r="I19">
        <v>21</v>
      </c>
      <c r="J19">
        <v>72</v>
      </c>
      <c r="K19" t="s">
        <v>366</v>
      </c>
    </row>
    <row r="20" spans="1:11" x14ac:dyDescent="0.3">
      <c r="A20" s="66" t="s">
        <v>235</v>
      </c>
      <c r="B20" s="66">
        <v>22</v>
      </c>
      <c r="C20" s="66">
        <v>73</v>
      </c>
      <c r="D20" s="65" t="s">
        <v>366</v>
      </c>
      <c r="E20" s="66" t="str">
        <f t="shared" si="0"/>
        <v>equalDOF	22	73	1 2</v>
      </c>
      <c r="F20">
        <f ca="1">_xlfn.XLOOKUP(B20,TCL_Nodes!B:B,TCL_Nodes!E:E)</f>
        <v>2.7</v>
      </c>
      <c r="H20" t="s">
        <v>235</v>
      </c>
      <c r="I20">
        <v>22</v>
      </c>
      <c r="J20">
        <v>73</v>
      </c>
      <c r="K20" t="s">
        <v>366</v>
      </c>
    </row>
    <row r="21" spans="1:11" x14ac:dyDescent="0.3">
      <c r="A21" s="66" t="s">
        <v>235</v>
      </c>
      <c r="B21" s="66">
        <v>23</v>
      </c>
      <c r="C21" s="66">
        <v>74</v>
      </c>
      <c r="D21" s="65" t="s">
        <v>366</v>
      </c>
      <c r="E21" s="66" t="str">
        <f t="shared" si="0"/>
        <v>equalDOF	23	74	1 2</v>
      </c>
      <c r="F21">
        <f>_xlfn.XLOOKUP(B21,TCL_Nodes!B:B,TCL_Nodes!E:E)</f>
        <v>2.7</v>
      </c>
      <c r="H21" t="s">
        <v>235</v>
      </c>
      <c r="I21">
        <v>23</v>
      </c>
      <c r="J21">
        <v>74</v>
      </c>
      <c r="K21" t="s">
        <v>366</v>
      </c>
    </row>
    <row r="22" spans="1:11" x14ac:dyDescent="0.3">
      <c r="A22" s="66" t="s">
        <v>235</v>
      </c>
      <c r="B22" s="66">
        <v>24</v>
      </c>
      <c r="C22" s="66">
        <v>75</v>
      </c>
      <c r="D22" s="65" t="s">
        <v>366</v>
      </c>
      <c r="E22" s="66" t="str">
        <f t="shared" si="0"/>
        <v>equalDOF	24	75	1 2</v>
      </c>
      <c r="F22">
        <f ca="1">_xlfn.XLOOKUP(B22,TCL_Nodes!B:B,TCL_Nodes!E:E)</f>
        <v>2.7</v>
      </c>
      <c r="H22" t="s">
        <v>235</v>
      </c>
      <c r="I22">
        <v>24</v>
      </c>
      <c r="J22">
        <v>75</v>
      </c>
      <c r="K22" t="s">
        <v>366</v>
      </c>
    </row>
    <row r="23" spans="1:11" x14ac:dyDescent="0.3">
      <c r="A23" s="66" t="s">
        <v>235</v>
      </c>
      <c r="B23" s="66">
        <v>28</v>
      </c>
      <c r="C23" s="66">
        <v>79</v>
      </c>
      <c r="D23" s="65" t="s">
        <v>366</v>
      </c>
      <c r="E23" s="66" t="str">
        <f t="shared" si="0"/>
        <v>equalDOF	28	79	1 2</v>
      </c>
      <c r="F23">
        <f ca="1">_xlfn.XLOOKUP(B23,TCL_Nodes!B:B,TCL_Nodes!E:E)</f>
        <v>6.1</v>
      </c>
      <c r="H23" t="s">
        <v>235</v>
      </c>
      <c r="I23">
        <v>28</v>
      </c>
      <c r="J23">
        <v>79</v>
      </c>
      <c r="K23" t="s">
        <v>366</v>
      </c>
    </row>
    <row r="24" spans="1:11" x14ac:dyDescent="0.3">
      <c r="A24" s="66" t="s">
        <v>235</v>
      </c>
      <c r="B24" s="66">
        <v>30</v>
      </c>
      <c r="C24" s="66">
        <v>80</v>
      </c>
      <c r="D24" s="65" t="s">
        <v>366</v>
      </c>
      <c r="E24" s="66" t="str">
        <f t="shared" si="0"/>
        <v>equalDOF	30	80	1 2</v>
      </c>
      <c r="F24">
        <f ca="1">_xlfn.XLOOKUP(B24,TCL_Nodes!B:B,TCL_Nodes!E:E)</f>
        <v>6.1</v>
      </c>
      <c r="H24" t="s">
        <v>235</v>
      </c>
      <c r="I24">
        <v>30</v>
      </c>
      <c r="J24">
        <v>80</v>
      </c>
      <c r="K24" t="s">
        <v>366</v>
      </c>
    </row>
    <row r="25" spans="1:11" x14ac:dyDescent="0.3">
      <c r="A25" s="66" t="s">
        <v>235</v>
      </c>
      <c r="B25" s="66">
        <v>31</v>
      </c>
      <c r="C25" s="66">
        <v>81</v>
      </c>
      <c r="D25" s="65" t="s">
        <v>367</v>
      </c>
      <c r="E25" s="66" t="str">
        <f t="shared" si="0"/>
        <v>equalDOF	31	81	1 2 3</v>
      </c>
      <c r="F25">
        <f>_xlfn.XLOOKUP(B25,TCL_Nodes!B:B,TCL_Nodes!E:E)</f>
        <v>6.1</v>
      </c>
      <c r="H25" t="s">
        <v>235</v>
      </c>
      <c r="I25">
        <v>31</v>
      </c>
      <c r="J25">
        <v>81</v>
      </c>
      <c r="K25" t="s">
        <v>366</v>
      </c>
    </row>
    <row r="26" spans="1:11" x14ac:dyDescent="0.3">
      <c r="A26" s="66" t="s">
        <v>235</v>
      </c>
      <c r="B26" s="66">
        <v>32</v>
      </c>
      <c r="C26" s="66">
        <v>82</v>
      </c>
      <c r="D26" s="65" t="s">
        <v>366</v>
      </c>
      <c r="E26" s="66" t="str">
        <f t="shared" si="0"/>
        <v>equalDOF	32	82	1 2</v>
      </c>
      <c r="F26">
        <f>_xlfn.XLOOKUP(B26,TCL_Nodes!B:B,TCL_Nodes!E:E)</f>
        <v>2.7</v>
      </c>
      <c r="H26" t="s">
        <v>235</v>
      </c>
      <c r="I26">
        <v>32</v>
      </c>
      <c r="J26">
        <v>82</v>
      </c>
      <c r="K26" t="s">
        <v>366</v>
      </c>
    </row>
    <row r="27" spans="1:11" x14ac:dyDescent="0.3">
      <c r="A27" s="66" t="s">
        <v>235</v>
      </c>
      <c r="B27" s="66">
        <v>34</v>
      </c>
      <c r="C27" s="66">
        <v>83</v>
      </c>
      <c r="D27" s="65" t="s">
        <v>366</v>
      </c>
      <c r="E27" s="66" t="str">
        <f t="shared" si="0"/>
        <v>equalDOF	34	83	1 2</v>
      </c>
      <c r="F27">
        <f>_xlfn.XLOOKUP(B27,TCL_Nodes!B:B,TCL_Nodes!E:E)</f>
        <v>2.7</v>
      </c>
      <c r="H27" t="s">
        <v>235</v>
      </c>
      <c r="I27">
        <v>34</v>
      </c>
      <c r="J27">
        <v>83</v>
      </c>
      <c r="K27" t="s">
        <v>366</v>
      </c>
    </row>
    <row r="28" spans="1:11" x14ac:dyDescent="0.3">
      <c r="A28" s="66" t="s">
        <v>235</v>
      </c>
      <c r="B28" s="66">
        <v>35</v>
      </c>
      <c r="C28" s="66">
        <v>84</v>
      </c>
      <c r="D28" s="65" t="s">
        <v>366</v>
      </c>
      <c r="E28" s="66" t="str">
        <f t="shared" si="0"/>
        <v>equalDOF	35	84	1 2</v>
      </c>
      <c r="F28">
        <f ca="1">_xlfn.XLOOKUP(B28,TCL_Nodes!B:B,TCL_Nodes!E:E)</f>
        <v>2.7</v>
      </c>
      <c r="H28" t="s">
        <v>235</v>
      </c>
      <c r="I28">
        <v>35</v>
      </c>
      <c r="J28">
        <v>84</v>
      </c>
      <c r="K28" t="s">
        <v>366</v>
      </c>
    </row>
    <row r="29" spans="1:11" x14ac:dyDescent="0.3">
      <c r="A29" s="66" t="s">
        <v>235</v>
      </c>
      <c r="B29" s="66">
        <v>40</v>
      </c>
      <c r="C29" s="66">
        <v>88</v>
      </c>
      <c r="D29" s="65" t="s">
        <v>366</v>
      </c>
      <c r="E29" s="66" t="str">
        <f t="shared" si="0"/>
        <v>equalDOF	40	88	1 2</v>
      </c>
      <c r="F29">
        <f ca="1">_xlfn.XLOOKUP(B29,TCL_Nodes!B:B,TCL_Nodes!E:E)</f>
        <v>6.1</v>
      </c>
      <c r="H29" t="s">
        <v>235</v>
      </c>
      <c r="I29">
        <v>40</v>
      </c>
      <c r="J29">
        <v>88</v>
      </c>
      <c r="K29" t="s">
        <v>366</v>
      </c>
    </row>
    <row r="30" spans="1:11" x14ac:dyDescent="0.3">
      <c r="A30" s="66" t="s">
        <v>235</v>
      </c>
      <c r="B30" s="66">
        <v>41</v>
      </c>
      <c r="C30" s="66">
        <v>89</v>
      </c>
      <c r="D30" s="65" t="s">
        <v>366</v>
      </c>
      <c r="E30" s="66" t="str">
        <f t="shared" si="0"/>
        <v>equalDOF	41	89	1 2</v>
      </c>
      <c r="F30">
        <f>_xlfn.XLOOKUP(B30,TCL_Nodes!B:B,TCL_Nodes!E:E)</f>
        <v>2.7</v>
      </c>
      <c r="H30" t="s">
        <v>235</v>
      </c>
      <c r="I30">
        <v>41</v>
      </c>
      <c r="J30">
        <v>89</v>
      </c>
      <c r="K30" t="s">
        <v>366</v>
      </c>
    </row>
    <row r="31" spans="1:11" x14ac:dyDescent="0.3">
      <c r="A31" s="66" t="s">
        <v>235</v>
      </c>
      <c r="B31" s="66">
        <v>43</v>
      </c>
      <c r="C31" s="66">
        <v>91</v>
      </c>
      <c r="D31" s="65" t="s">
        <v>366</v>
      </c>
      <c r="E31" s="66" t="str">
        <f t="shared" si="0"/>
        <v>equalDOF	43	91	1 2</v>
      </c>
      <c r="F31">
        <f>_xlfn.XLOOKUP(B31,TCL_Nodes!B:B,TCL_Nodes!E:E)</f>
        <v>6.1</v>
      </c>
      <c r="H31" t="s">
        <v>235</v>
      </c>
      <c r="I31">
        <v>43</v>
      </c>
      <c r="J31">
        <v>91</v>
      </c>
      <c r="K31" t="s">
        <v>366</v>
      </c>
    </row>
    <row r="32" spans="1:11" x14ac:dyDescent="0.3">
      <c r="A32" s="66" t="s">
        <v>235</v>
      </c>
      <c r="B32" s="66">
        <v>92</v>
      </c>
      <c r="C32" s="66">
        <v>44</v>
      </c>
      <c r="D32" s="65" t="s">
        <v>366</v>
      </c>
      <c r="E32" s="66" t="str">
        <f t="shared" si="0"/>
        <v>equalDOF	92	44	1 2</v>
      </c>
      <c r="F32">
        <f>_xlfn.XLOOKUP(B32,TCL_Nodes!B:B,TCL_Nodes!E:E)</f>
        <v>6.1</v>
      </c>
      <c r="H32" t="s">
        <v>235</v>
      </c>
      <c r="I32">
        <v>92</v>
      </c>
      <c r="J32">
        <v>44</v>
      </c>
      <c r="K32" t="s">
        <v>366</v>
      </c>
    </row>
    <row r="33" spans="1:11" x14ac:dyDescent="0.3">
      <c r="A33" s="66" t="s">
        <v>235</v>
      </c>
      <c r="B33" s="66">
        <v>45</v>
      </c>
      <c r="C33" s="66">
        <v>93</v>
      </c>
      <c r="D33" s="65" t="s">
        <v>366</v>
      </c>
      <c r="E33" s="66" t="str">
        <f t="shared" si="0"/>
        <v>equalDOF	45	93	1 2</v>
      </c>
      <c r="F33">
        <f ca="1">_xlfn.XLOOKUP(B33,TCL_Nodes!B:B,TCL_Nodes!E:E)</f>
        <v>6.1</v>
      </c>
      <c r="H33" t="s">
        <v>235</v>
      </c>
      <c r="I33">
        <v>45</v>
      </c>
      <c r="J33">
        <v>93</v>
      </c>
      <c r="K33" t="s">
        <v>366</v>
      </c>
    </row>
    <row r="34" spans="1:11" x14ac:dyDescent="0.3">
      <c r="A34" s="66" t="s">
        <v>235</v>
      </c>
      <c r="B34" s="66">
        <v>46</v>
      </c>
      <c r="C34" s="66">
        <v>94</v>
      </c>
      <c r="D34" s="65" t="s">
        <v>366</v>
      </c>
      <c r="E34" s="66" t="str">
        <f t="shared" si="0"/>
        <v>equalDOF	46	94	1 2</v>
      </c>
      <c r="F34">
        <f ca="1">_xlfn.XLOOKUP(B34,TCL_Nodes!B:B,TCL_Nodes!E:E)</f>
        <v>2.7</v>
      </c>
      <c r="H34" t="s">
        <v>235</v>
      </c>
      <c r="I34">
        <v>46</v>
      </c>
      <c r="J34">
        <v>94</v>
      </c>
      <c r="K34" t="s">
        <v>366</v>
      </c>
    </row>
    <row r="35" spans="1:11" x14ac:dyDescent="0.3">
      <c r="A35" s="66" t="s">
        <v>235</v>
      </c>
      <c r="B35" s="66">
        <v>47</v>
      </c>
      <c r="C35" s="66">
        <v>95</v>
      </c>
      <c r="D35" s="65" t="s">
        <v>366</v>
      </c>
      <c r="E35" s="66" t="str">
        <f t="shared" si="0"/>
        <v>equalDOF	47	95	1 2</v>
      </c>
      <c r="F35">
        <f ca="1">_xlfn.XLOOKUP(B35,TCL_Nodes!B:B,TCL_Nodes!E:E)</f>
        <v>2.7</v>
      </c>
      <c r="H35" t="s">
        <v>235</v>
      </c>
      <c r="I35">
        <v>47</v>
      </c>
      <c r="J35">
        <v>95</v>
      </c>
      <c r="K35" t="s">
        <v>366</v>
      </c>
    </row>
    <row r="36" spans="1:11" x14ac:dyDescent="0.3">
      <c r="A36" s="66" t="s">
        <v>235</v>
      </c>
      <c r="B36" s="66">
        <v>48</v>
      </c>
      <c r="C36" s="66">
        <v>96</v>
      </c>
      <c r="D36" s="65" t="s">
        <v>366</v>
      </c>
      <c r="E36" s="66" t="str">
        <f t="shared" si="0"/>
        <v>equalDOF	48	96	1 2</v>
      </c>
      <c r="F36">
        <f ca="1">_xlfn.XLOOKUP(B36,TCL_Nodes!B:B,TCL_Nodes!E:E)</f>
        <v>2.7</v>
      </c>
      <c r="H36" t="s">
        <v>235</v>
      </c>
      <c r="I36">
        <v>48</v>
      </c>
      <c r="J36">
        <v>96</v>
      </c>
      <c r="K36" t="s">
        <v>366</v>
      </c>
    </row>
    <row r="37" spans="1:11" x14ac:dyDescent="0.3">
      <c r="A37" s="66" t="s">
        <v>235</v>
      </c>
      <c r="B37" s="66">
        <v>52</v>
      </c>
      <c r="C37" s="66">
        <v>100</v>
      </c>
      <c r="D37" s="65" t="s">
        <v>366</v>
      </c>
      <c r="E37" s="66" t="str">
        <f t="shared" si="0"/>
        <v>equalDOF	52	100	1 2</v>
      </c>
      <c r="F37">
        <f ca="1">_xlfn.XLOOKUP(B37,TCL_Nodes!B:B,TCL_Nodes!E:E)</f>
        <v>6.1</v>
      </c>
      <c r="H37" t="s">
        <v>235</v>
      </c>
      <c r="I37">
        <v>52</v>
      </c>
      <c r="J37">
        <v>100</v>
      </c>
      <c r="K37" t="s">
        <v>366</v>
      </c>
    </row>
    <row r="38" spans="1:11" x14ac:dyDescent="0.3">
      <c r="A38" s="66" t="s">
        <v>235</v>
      </c>
      <c r="B38" s="66">
        <v>53</v>
      </c>
      <c r="C38" s="66">
        <v>101</v>
      </c>
      <c r="D38" s="65" t="s">
        <v>366</v>
      </c>
      <c r="E38" s="66" t="str">
        <f t="shared" si="0"/>
        <v>equalDOF	53	101	1 2</v>
      </c>
      <c r="F38">
        <f ca="1">_xlfn.XLOOKUP(B38,TCL_Nodes!B:B,TCL_Nodes!E:E)</f>
        <v>2.7</v>
      </c>
      <c r="H38" t="s">
        <v>235</v>
      </c>
      <c r="I38">
        <v>53</v>
      </c>
      <c r="J38">
        <v>101</v>
      </c>
      <c r="K38" t="s">
        <v>366</v>
      </c>
    </row>
    <row r="39" spans="1:11" x14ac:dyDescent="0.3">
      <c r="C39" s="29"/>
    </row>
    <row r="40" spans="1:11" hidden="1" x14ac:dyDescent="0.3">
      <c r="A40" t="s">
        <v>284</v>
      </c>
      <c r="C40" s="29"/>
      <c r="E40" t="str">
        <f t="shared" si="0"/>
        <v># Middle nodes</v>
      </c>
      <c r="F40" t="s">
        <v>285</v>
      </c>
    </row>
    <row r="41" spans="1:11" hidden="1" x14ac:dyDescent="0.3">
      <c r="A41" s="25" t="s">
        <v>240</v>
      </c>
      <c r="B41" t="s">
        <v>272</v>
      </c>
      <c r="C41" s="29">
        <f>_xlfn.XLOOKUP(F41,TCL_Macroelements!C:C,TCL_Macroelements!F:F)</f>
        <v>108</v>
      </c>
      <c r="D41" s="29">
        <f>_xlfn.XLOOKUP(G41,TCL_Macroelements!C:C,TCL_Macroelements!F:F)</f>
        <v>189</v>
      </c>
      <c r="E41" t="str">
        <f t="shared" ref="E41:E62" si="1">TRIM(_xlfn.TEXTJOIN(CHAR(9),TRUE,A41:D41))</f>
        <v>rigidLink	bar	108	189</v>
      </c>
      <c r="F41">
        <v>6</v>
      </c>
      <c r="G41">
        <v>90</v>
      </c>
    </row>
    <row r="42" spans="1:11" hidden="1" x14ac:dyDescent="0.3">
      <c r="A42" s="25" t="s">
        <v>240</v>
      </c>
      <c r="B42" t="s">
        <v>272</v>
      </c>
      <c r="C42" s="29">
        <f>_xlfn.XLOOKUP(F42,TCL_Macroelements!C:C,TCL_Macroelements!F:F)</f>
        <v>117</v>
      </c>
      <c r="D42" s="29">
        <f>_xlfn.XLOOKUP(G42,TCL_Macroelements!C:C,TCL_Macroelements!F:F)</f>
        <v>194</v>
      </c>
      <c r="E42" t="str">
        <f t="shared" si="1"/>
        <v>rigidLink	bar	117	194</v>
      </c>
      <c r="F42">
        <v>16</v>
      </c>
      <c r="G42">
        <v>95</v>
      </c>
    </row>
    <row r="43" spans="1:11" hidden="1" x14ac:dyDescent="0.3">
      <c r="A43" s="25" t="s">
        <v>240</v>
      </c>
      <c r="B43" t="s">
        <v>272</v>
      </c>
      <c r="C43" s="29">
        <f>_xlfn.XLOOKUP(F43,TCL_Macroelements!C:C,TCL_Macroelements!F:F)</f>
        <v>110</v>
      </c>
      <c r="D43" s="29">
        <f>_xlfn.XLOOKUP(G43,TCL_Macroelements!C:C,TCL_Macroelements!F:F)</f>
        <v>200</v>
      </c>
      <c r="E43" t="str">
        <f t="shared" si="1"/>
        <v>rigidLink	bar	110	200</v>
      </c>
      <c r="F43">
        <v>9</v>
      </c>
      <c r="G43">
        <v>101</v>
      </c>
    </row>
    <row r="44" spans="1:11" hidden="1" x14ac:dyDescent="0.3">
      <c r="A44" s="25" t="s">
        <v>240</v>
      </c>
      <c r="B44" t="s">
        <v>272</v>
      </c>
      <c r="C44" s="29">
        <f>_xlfn.XLOOKUP(F44,TCL_Macroelements!C:C,TCL_Macroelements!F:F)</f>
        <v>120</v>
      </c>
      <c r="D44" s="29">
        <f>_xlfn.XLOOKUP(G44,TCL_Macroelements!C:C,TCL_Macroelements!F:F)</f>
        <v>207</v>
      </c>
      <c r="E44" t="str">
        <f t="shared" si="1"/>
        <v>rigidLink	bar	120	207</v>
      </c>
      <c r="F44">
        <v>19</v>
      </c>
      <c r="G44">
        <v>108</v>
      </c>
    </row>
    <row r="45" spans="1:11" hidden="1" x14ac:dyDescent="0.3">
      <c r="A45" s="25" t="s">
        <v>240</v>
      </c>
      <c r="B45" t="s">
        <v>272</v>
      </c>
      <c r="C45" s="29">
        <f>_xlfn.XLOOKUP(F45,TCL_Macroelements!C:C,TCL_Macroelements!F:F)</f>
        <v>128</v>
      </c>
      <c r="D45" s="29">
        <f>_xlfn.XLOOKUP(G45,TCL_Macroelements!C:C,TCL_Macroelements!F:F)</f>
        <v>213</v>
      </c>
      <c r="E45" t="str">
        <f t="shared" si="1"/>
        <v>rigidLink	bar	128	213</v>
      </c>
      <c r="F45">
        <v>28</v>
      </c>
      <c r="G45">
        <v>114</v>
      </c>
    </row>
    <row r="46" spans="1:11" hidden="1" x14ac:dyDescent="0.3">
      <c r="A46" s="25" t="s">
        <v>240</v>
      </c>
      <c r="B46" t="s">
        <v>272</v>
      </c>
      <c r="C46" s="29">
        <f>_xlfn.XLOOKUP(F46,TCL_Macroelements!C:C,TCL_Macroelements!F:F)</f>
        <v>133</v>
      </c>
      <c r="D46" s="29">
        <f>_xlfn.XLOOKUP(G46,TCL_Macroelements!C:C,TCL_Macroelements!F:F)</f>
        <v>216</v>
      </c>
      <c r="E46" t="str">
        <f t="shared" si="1"/>
        <v>rigidLink	bar	133	216</v>
      </c>
      <c r="F46">
        <v>34</v>
      </c>
      <c r="G46">
        <v>117</v>
      </c>
    </row>
    <row r="47" spans="1:11" hidden="1" x14ac:dyDescent="0.3">
      <c r="A47" s="25" t="s">
        <v>240</v>
      </c>
      <c r="B47" t="s">
        <v>272</v>
      </c>
      <c r="C47" s="29">
        <f>_xlfn.XLOOKUP(F47,TCL_Macroelements!C:C,TCL_Macroelements!F:F)</f>
        <v>129</v>
      </c>
      <c r="D47" s="29">
        <f>_xlfn.XLOOKUP(G47,TCL_Macroelements!C:C,TCL_Macroelements!F:F)</f>
        <v>178</v>
      </c>
      <c r="E47" t="str">
        <f t="shared" si="1"/>
        <v>rigidLink	bar	129	178</v>
      </c>
      <c r="F47">
        <v>29</v>
      </c>
      <c r="G47">
        <v>79</v>
      </c>
    </row>
    <row r="48" spans="1:11" hidden="1" x14ac:dyDescent="0.3">
      <c r="A48" s="25" t="s">
        <v>240</v>
      </c>
      <c r="B48" t="s">
        <v>272</v>
      </c>
      <c r="C48" s="29">
        <f>_xlfn.XLOOKUP(F48,TCL_Macroelements!C:C,TCL_Macroelements!F:F)</f>
        <v>134</v>
      </c>
      <c r="D48" s="29">
        <f>_xlfn.XLOOKUP(G48,TCL_Macroelements!C:C,TCL_Macroelements!F:F)</f>
        <v>186</v>
      </c>
      <c r="E48" t="str">
        <f t="shared" si="1"/>
        <v>rigidLink	bar	134	186</v>
      </c>
      <c r="F48">
        <v>35</v>
      </c>
      <c r="G48">
        <v>87</v>
      </c>
    </row>
    <row r="49" spans="1:7" hidden="1" x14ac:dyDescent="0.3">
      <c r="A49" s="25" t="s">
        <v>240</v>
      </c>
      <c r="B49" t="s">
        <v>272</v>
      </c>
      <c r="C49" s="29">
        <f>_xlfn.XLOOKUP(F49,TCL_Macroelements!C:C,TCL_Macroelements!F:F)</f>
        <v>142</v>
      </c>
      <c r="D49" s="29">
        <f>_xlfn.XLOOKUP(G49,TCL_Macroelements!C:C,TCL_Macroelements!F:F)</f>
        <v>203</v>
      </c>
      <c r="E49" t="str">
        <f t="shared" si="1"/>
        <v>rigidLink	bar	142	203</v>
      </c>
      <c r="F49">
        <v>43</v>
      </c>
      <c r="G49">
        <v>104</v>
      </c>
    </row>
    <row r="50" spans="1:7" hidden="1" x14ac:dyDescent="0.3">
      <c r="A50" s="25" t="s">
        <v>240</v>
      </c>
      <c r="B50" t="s">
        <v>272</v>
      </c>
      <c r="C50" s="29">
        <f>_xlfn.XLOOKUP(F50,TCL_Macroelements!C:C,TCL_Macroelements!F:F)</f>
        <v>151</v>
      </c>
      <c r="D50" s="29">
        <f>_xlfn.XLOOKUP(G50,TCL_Macroelements!C:C,TCL_Macroelements!F:F)</f>
        <v>210</v>
      </c>
      <c r="E50" t="str">
        <f t="shared" si="1"/>
        <v>rigidLink	bar	151	210</v>
      </c>
      <c r="F50">
        <v>52</v>
      </c>
      <c r="G50">
        <v>111</v>
      </c>
    </row>
    <row r="51" spans="1:7" hidden="1" x14ac:dyDescent="0.3">
      <c r="A51" s="25" t="s">
        <v>240</v>
      </c>
      <c r="B51" t="s">
        <v>272</v>
      </c>
      <c r="C51" s="29">
        <f>_xlfn.XLOOKUP(F51,TCL_Macroelements!C:C,TCL_Macroelements!F:F)</f>
        <v>144</v>
      </c>
      <c r="D51" s="29">
        <f>_xlfn.XLOOKUP(G51,TCL_Macroelements!C:C,TCL_Macroelements!F:F)</f>
        <v>191</v>
      </c>
      <c r="E51" t="str">
        <f t="shared" si="1"/>
        <v>rigidLink	bar	144	191</v>
      </c>
      <c r="F51">
        <v>45</v>
      </c>
      <c r="G51">
        <v>92</v>
      </c>
    </row>
    <row r="52" spans="1:7" hidden="1" x14ac:dyDescent="0.3">
      <c r="A52" s="25" t="s">
        <v>240</v>
      </c>
      <c r="B52" t="s">
        <v>272</v>
      </c>
      <c r="C52" s="29">
        <f>_xlfn.XLOOKUP(F52,TCL_Macroelements!C:C,TCL_Macroelements!F:F)</f>
        <v>153</v>
      </c>
      <c r="D52" s="29">
        <f>_xlfn.XLOOKUP(G52,TCL_Macroelements!C:C,TCL_Macroelements!F:F)</f>
        <v>196</v>
      </c>
      <c r="E52" t="str">
        <f t="shared" si="1"/>
        <v>rigidLink	bar	153	196</v>
      </c>
      <c r="F52">
        <v>54</v>
      </c>
      <c r="G52">
        <v>97</v>
      </c>
    </row>
    <row r="53" spans="1:7" hidden="1" x14ac:dyDescent="0.3">
      <c r="A53" s="25" t="s">
        <v>240</v>
      </c>
      <c r="B53" t="s">
        <v>272</v>
      </c>
      <c r="C53" s="29">
        <f>_xlfn.XLOOKUP(F53,TCL_Macroelements!C:C,TCL_Macroelements!F:F)</f>
        <v>162</v>
      </c>
      <c r="D53" s="29">
        <f>_xlfn.XLOOKUP(G53,TCL_Macroelements!C:C,TCL_Macroelements!F:F)</f>
        <v>174</v>
      </c>
      <c r="E53" t="str">
        <f t="shared" si="1"/>
        <v>rigidLink	bar	162	174</v>
      </c>
      <c r="F53">
        <v>63</v>
      </c>
      <c r="G53">
        <v>75</v>
      </c>
    </row>
    <row r="54" spans="1:7" hidden="1" x14ac:dyDescent="0.3">
      <c r="A54" s="25" t="s">
        <v>240</v>
      </c>
      <c r="B54" t="s">
        <v>272</v>
      </c>
      <c r="C54" s="29">
        <f>_xlfn.XLOOKUP(F54,TCL_Macroelements!C:C,TCL_Macroelements!F:F)</f>
        <v>167</v>
      </c>
      <c r="D54" s="29">
        <f>_xlfn.XLOOKUP(G54,TCL_Macroelements!C:C,TCL_Macroelements!F:F)</f>
        <v>182</v>
      </c>
      <c r="E54" t="str">
        <f t="shared" si="1"/>
        <v>rigidLink	bar	167	182</v>
      </c>
      <c r="F54">
        <v>68</v>
      </c>
      <c r="G54">
        <v>83</v>
      </c>
    </row>
    <row r="55" spans="1:7" hidden="1" x14ac:dyDescent="0.3">
      <c r="A55" s="25" t="s">
        <v>240</v>
      </c>
      <c r="B55" t="s">
        <v>272</v>
      </c>
      <c r="C55" s="29">
        <f>_xlfn.XLOOKUP(F55,TCL_Macroelements!C:C,TCL_Macroelements!F:F)</f>
        <v>201</v>
      </c>
      <c r="D55" s="29">
        <f>_xlfn.XLOOKUP(G55,TCL_Macroelements!C:C,TCL_Macroelements!F:F)</f>
        <v>212</v>
      </c>
      <c r="E55" t="str">
        <f t="shared" si="1"/>
        <v>rigidLink	bar	201	212</v>
      </c>
      <c r="F55">
        <v>102</v>
      </c>
      <c r="G55">
        <v>113</v>
      </c>
    </row>
    <row r="56" spans="1:7" hidden="1" x14ac:dyDescent="0.3">
      <c r="A56" s="25" t="s">
        <v>240</v>
      </c>
      <c r="B56" t="s">
        <v>272</v>
      </c>
      <c r="C56" s="29">
        <f>_xlfn.XLOOKUP(F56,TCL_Macroelements!C:C,TCL_Macroelements!F:F)</f>
        <v>208</v>
      </c>
      <c r="D56" s="29">
        <f>_xlfn.XLOOKUP(G56,TCL_Macroelements!C:C,TCL_Macroelements!F:F)</f>
        <v>215</v>
      </c>
      <c r="E56" t="str">
        <f t="shared" si="1"/>
        <v>rigidLink	bar	208	215</v>
      </c>
      <c r="F56">
        <v>109</v>
      </c>
      <c r="G56">
        <v>116</v>
      </c>
    </row>
    <row r="57" spans="1:7" hidden="1" x14ac:dyDescent="0.3">
      <c r="A57" s="25" t="s">
        <v>240</v>
      </c>
      <c r="B57" t="s">
        <v>272</v>
      </c>
      <c r="C57" s="29">
        <f>_xlfn.XLOOKUP(F57,TCL_Macroelements!C:C,TCL_Macroelements!F:F)</f>
        <v>175</v>
      </c>
      <c r="D57" s="29">
        <f>_xlfn.XLOOKUP(G57,TCL_Macroelements!C:C,TCL_Macroelements!F:F)</f>
        <v>190</v>
      </c>
      <c r="E57" t="str">
        <f t="shared" si="1"/>
        <v>rigidLink	bar	175	190</v>
      </c>
      <c r="F57">
        <v>76</v>
      </c>
      <c r="G57">
        <v>91</v>
      </c>
    </row>
    <row r="58" spans="1:7" hidden="1" x14ac:dyDescent="0.3">
      <c r="A58" s="25" t="s">
        <v>240</v>
      </c>
      <c r="B58" t="s">
        <v>272</v>
      </c>
      <c r="C58" s="29">
        <f>_xlfn.XLOOKUP(F58,TCL_Macroelements!C:C,TCL_Macroelements!F:F)</f>
        <v>183</v>
      </c>
      <c r="D58" s="29">
        <f>_xlfn.XLOOKUP(G58,TCL_Macroelements!C:C,TCL_Macroelements!F:F)</f>
        <v>195</v>
      </c>
      <c r="E58" t="str">
        <f t="shared" si="1"/>
        <v>rigidLink	bar	183	195</v>
      </c>
      <c r="F58">
        <v>84</v>
      </c>
      <c r="G58">
        <v>96</v>
      </c>
    </row>
    <row r="59" spans="1:7" hidden="1" x14ac:dyDescent="0.3">
      <c r="A59" s="25" t="s">
        <v>240</v>
      </c>
      <c r="B59" t="s">
        <v>272</v>
      </c>
      <c r="C59" s="29">
        <f>_xlfn.XLOOKUP(F59,TCL_Macroelements!C:C,TCL_Macroelements!F:F)</f>
        <v>176</v>
      </c>
      <c r="D59" s="29">
        <f>_xlfn.XLOOKUP(G59,TCL_Macroelements!C:C,TCL_Macroelements!F:F)</f>
        <v>202</v>
      </c>
      <c r="E59" t="str">
        <f t="shared" si="1"/>
        <v>rigidLink	bar	176	202</v>
      </c>
      <c r="F59">
        <v>77</v>
      </c>
      <c r="G59">
        <v>103</v>
      </c>
    </row>
    <row r="60" spans="1:7" hidden="1" x14ac:dyDescent="0.3">
      <c r="A60" s="25" t="s">
        <v>240</v>
      </c>
      <c r="B60" t="s">
        <v>272</v>
      </c>
      <c r="C60" s="29">
        <f>_xlfn.XLOOKUP(F60,TCL_Macroelements!C:C,TCL_Macroelements!F:F)</f>
        <v>184</v>
      </c>
      <c r="D60" s="29">
        <f>_xlfn.XLOOKUP(G60,TCL_Macroelements!C:C,TCL_Macroelements!F:F)</f>
        <v>209</v>
      </c>
      <c r="E60" t="str">
        <f t="shared" si="1"/>
        <v>rigidLink	bar	184	209</v>
      </c>
      <c r="F60">
        <v>85</v>
      </c>
      <c r="G60">
        <v>110</v>
      </c>
    </row>
    <row r="61" spans="1:7" hidden="1" x14ac:dyDescent="0.3">
      <c r="A61" s="25" t="s">
        <v>240</v>
      </c>
      <c r="B61" t="s">
        <v>272</v>
      </c>
      <c r="C61" s="29">
        <f>_xlfn.XLOOKUP(F61,TCL_Macroelements!C:C,TCL_Macroelements!F:F)</f>
        <v>177</v>
      </c>
      <c r="D61" s="29">
        <f>_xlfn.XLOOKUP(G61,TCL_Macroelements!C:C,TCL_Macroelements!F:F)</f>
        <v>219</v>
      </c>
      <c r="E61" t="str">
        <f t="shared" si="1"/>
        <v>rigidLink	bar	177	219</v>
      </c>
      <c r="F61">
        <v>78</v>
      </c>
      <c r="G61">
        <v>120</v>
      </c>
    </row>
    <row r="62" spans="1:7" hidden="1" x14ac:dyDescent="0.3">
      <c r="A62" s="25" t="s">
        <v>240</v>
      </c>
      <c r="B62" t="s">
        <v>272</v>
      </c>
      <c r="C62" s="29">
        <f>_xlfn.XLOOKUP(F62,TCL_Macroelements!C:C,TCL_Macroelements!F:F)</f>
        <v>185</v>
      </c>
      <c r="D62" s="29">
        <f>_xlfn.XLOOKUP(G62,TCL_Macroelements!C:C,TCL_Macroelements!F:F)</f>
        <v>220</v>
      </c>
      <c r="E62" t="str">
        <f t="shared" si="1"/>
        <v>rigidLink	bar	185	220</v>
      </c>
      <c r="F62">
        <v>86</v>
      </c>
      <c r="G62">
        <v>121</v>
      </c>
    </row>
    <row r="63" spans="1:7" x14ac:dyDescent="0.3">
      <c r="A63" s="25" t="s">
        <v>390</v>
      </c>
      <c r="B63" t="s">
        <v>391</v>
      </c>
      <c r="C63" s="29" t="s">
        <v>387</v>
      </c>
      <c r="D63" s="29" t="s">
        <v>388</v>
      </c>
      <c r="E63" t="str">
        <f t="shared" ref="E63:E64" si="2">TRIM(_xlfn.TEXTJOIN(CHAR(9),TRUE,A63:D63))</f>
        <v>#rigidLink	$type	$rNodeTag	$cNodeTag</v>
      </c>
    </row>
    <row r="64" spans="1:7" x14ac:dyDescent="0.3">
      <c r="A64" s="25" t="s">
        <v>286</v>
      </c>
      <c r="C64" s="29"/>
      <c r="D64" s="29"/>
      <c r="E64" t="str">
        <f t="shared" si="2"/>
        <v># Beam corners</v>
      </c>
    </row>
    <row r="65" spans="1:5" x14ac:dyDescent="0.3">
      <c r="A65" s="65" t="s">
        <v>240</v>
      </c>
      <c r="B65" s="66" t="s">
        <v>258</v>
      </c>
      <c r="C65" s="68">
        <v>6</v>
      </c>
      <c r="D65" s="68">
        <v>61</v>
      </c>
      <c r="E65" s="66" t="str">
        <f>TRIM(_xlfn.TEXTJOIN(CHAR(9),TRUE,A65:D65))</f>
        <v>rigidLink	beam	6	61</v>
      </c>
    </row>
    <row r="66" spans="1:5" x14ac:dyDescent="0.3">
      <c r="A66" s="65" t="s">
        <v>240</v>
      </c>
      <c r="B66" s="66" t="s">
        <v>258</v>
      </c>
      <c r="C66" s="68">
        <v>21</v>
      </c>
      <c r="D66" s="68">
        <v>72</v>
      </c>
      <c r="E66" s="66" t="str">
        <f>TRIM(_xlfn.TEXTJOIN(CHAR(9),TRUE,A66:D66))</f>
        <v>rigidLink	beam	21	72</v>
      </c>
    </row>
    <row r="67" spans="1:5" x14ac:dyDescent="0.3">
      <c r="A67" s="65" t="s">
        <v>240</v>
      </c>
      <c r="B67" s="66" t="s">
        <v>258</v>
      </c>
      <c r="C67" s="68">
        <v>31</v>
      </c>
      <c r="D67" s="68">
        <v>81</v>
      </c>
      <c r="E67" s="66" t="str">
        <f>TRIM(_xlfn.TEXTJOIN(CHAR(9),TRUE,A67:D67))</f>
        <v>rigidLink	beam	31	81</v>
      </c>
    </row>
    <row r="68" spans="1:5" x14ac:dyDescent="0.3">
      <c r="A68" s="65" t="s">
        <v>240</v>
      </c>
      <c r="B68" s="66" t="s">
        <v>258</v>
      </c>
      <c r="C68" s="68">
        <v>58</v>
      </c>
      <c r="D68" s="68">
        <v>1</v>
      </c>
      <c r="E68" s="66" t="str">
        <f>TRIM(_xlfn.TEXTJOIN(CHAR(9),TRUE,A68:D68))</f>
        <v>rigidLink	beam	58	1</v>
      </c>
    </row>
    <row r="69" spans="1:5" x14ac:dyDescent="0.3">
      <c r="C69" s="29"/>
    </row>
    <row r="70" spans="1:5" x14ac:dyDescent="0.3">
      <c r="A70" s="25" t="s">
        <v>257</v>
      </c>
      <c r="C70" s="29"/>
      <c r="D70" s="29"/>
    </row>
    <row r="71" spans="1:5" x14ac:dyDescent="0.3">
      <c r="A71" s="65" t="s">
        <v>240</v>
      </c>
      <c r="B71" s="66" t="s">
        <v>258</v>
      </c>
      <c r="C71" s="68">
        <v>19</v>
      </c>
      <c r="D71" s="68">
        <v>6</v>
      </c>
      <c r="E71" s="66" t="str">
        <f t="shared" ref="E71:E76" si="3">TRIM(_xlfn.TEXTJOIN(CHAR(9),TRUE,A71:D71))</f>
        <v>rigidLink	beam	19	6</v>
      </c>
    </row>
    <row r="72" spans="1:5" x14ac:dyDescent="0.3">
      <c r="A72" s="66" t="s">
        <v>240</v>
      </c>
      <c r="B72" s="66" t="s">
        <v>258</v>
      </c>
      <c r="C72" s="68">
        <v>22</v>
      </c>
      <c r="D72" s="68">
        <v>12</v>
      </c>
      <c r="E72" s="66" t="str">
        <f t="shared" si="3"/>
        <v>rigidLink	beam	22	12</v>
      </c>
    </row>
    <row r="73" spans="1:5" x14ac:dyDescent="0.3">
      <c r="A73" s="66" t="s">
        <v>240</v>
      </c>
      <c r="B73" s="66" t="s">
        <v>272</v>
      </c>
      <c r="C73" s="68">
        <v>43</v>
      </c>
      <c r="D73" s="68">
        <v>44</v>
      </c>
      <c r="E73" s="66" t="str">
        <f t="shared" si="3"/>
        <v>rigidLink	bar	43	44</v>
      </c>
    </row>
    <row r="74" spans="1:5" x14ac:dyDescent="0.3">
      <c r="A74" s="66" t="s">
        <v>240</v>
      </c>
      <c r="B74" s="66" t="s">
        <v>258</v>
      </c>
      <c r="C74" s="68">
        <v>175</v>
      </c>
      <c r="D74" s="68">
        <v>176</v>
      </c>
      <c r="E74" s="66" t="str">
        <f t="shared" si="3"/>
        <v>rigidLink	beam	175	176</v>
      </c>
    </row>
    <row r="75" spans="1:5" x14ac:dyDescent="0.3">
      <c r="A75" s="66" t="s">
        <v>240</v>
      </c>
      <c r="B75" s="66" t="s">
        <v>272</v>
      </c>
      <c r="C75" s="68">
        <v>46</v>
      </c>
      <c r="D75" s="68">
        <v>47</v>
      </c>
      <c r="E75" s="66" t="str">
        <f t="shared" si="3"/>
        <v>rigidLink	bar	46	47</v>
      </c>
    </row>
    <row r="76" spans="1:5" x14ac:dyDescent="0.3">
      <c r="A76" s="66" t="s">
        <v>240</v>
      </c>
      <c r="B76" s="66" t="s">
        <v>258</v>
      </c>
      <c r="C76" s="68">
        <v>183</v>
      </c>
      <c r="D76" s="68">
        <v>184</v>
      </c>
      <c r="E76" s="66" t="str">
        <f t="shared" si="3"/>
        <v>rigidLink	beam	183	184</v>
      </c>
    </row>
    <row r="77" spans="1:5" x14ac:dyDescent="0.3">
      <c r="E77" t="str">
        <f t="shared" ref="E77:E78" si="4">TRIM(_xlfn.TEXTJOIN(CHAR(9),TRUE,A77:D77))</f>
        <v/>
      </c>
    </row>
    <row r="78" spans="1:5" x14ac:dyDescent="0.3">
      <c r="A78" s="25" t="s">
        <v>390</v>
      </c>
      <c r="B78" t="s">
        <v>391</v>
      </c>
      <c r="C78" s="29" t="s">
        <v>387</v>
      </c>
      <c r="D78" s="29" t="s">
        <v>388</v>
      </c>
      <c r="E78" t="str">
        <f t="shared" si="4"/>
        <v>#rigidLink	$type	$rNodeTag	$cNodeTag</v>
      </c>
    </row>
    <row r="79" spans="1:5" x14ac:dyDescent="0.3">
      <c r="A79" t="s">
        <v>259</v>
      </c>
      <c r="E79" t="str">
        <f t="shared" ref="E79:E80" si="5">TRIM(_xlfn.TEXTJOIN(CHAR(9),TRUE,A79:D79))</f>
        <v>#Fictitious NODES</v>
      </c>
    </row>
    <row r="80" spans="1:5" x14ac:dyDescent="0.3">
      <c r="A80" s="66" t="s">
        <v>240</v>
      </c>
      <c r="B80" s="66" t="s">
        <v>258</v>
      </c>
      <c r="C80" s="68">
        <v>3</v>
      </c>
      <c r="D80" s="68">
        <v>1315</v>
      </c>
      <c r="E80" s="66" t="str">
        <f t="shared" si="5"/>
        <v>rigidLink	beam	3	1315</v>
      </c>
    </row>
    <row r="81" spans="1:5" x14ac:dyDescent="0.3">
      <c r="A81" s="66" t="s">
        <v>240</v>
      </c>
      <c r="B81" s="66" t="s">
        <v>258</v>
      </c>
      <c r="C81" s="68">
        <v>9</v>
      </c>
      <c r="D81" s="68">
        <v>1308</v>
      </c>
      <c r="E81" s="66" t="str">
        <f t="shared" ref="E81:E83" si="6">TRIM(_xlfn.TEXTJOIN(CHAR(9),TRUE,A81:D81))</f>
        <v>rigidLink	beam	9	1308</v>
      </c>
    </row>
    <row r="82" spans="1:5" x14ac:dyDescent="0.3">
      <c r="A82" s="66" t="s">
        <v>240</v>
      </c>
      <c r="B82" s="66" t="s">
        <v>258</v>
      </c>
      <c r="C82" s="68">
        <v>9</v>
      </c>
      <c r="D82" s="68">
        <v>1309</v>
      </c>
      <c r="E82" s="66" t="str">
        <f t="shared" si="6"/>
        <v>rigidLink	beam	9	1309</v>
      </c>
    </row>
    <row r="83" spans="1:5" x14ac:dyDescent="0.3">
      <c r="A83" s="66" t="s">
        <v>240</v>
      </c>
      <c r="B83" s="66" t="s">
        <v>258</v>
      </c>
      <c r="C83" s="68">
        <v>2</v>
      </c>
      <c r="D83" s="68">
        <v>1312</v>
      </c>
      <c r="E83" s="66" t="str">
        <f t="shared" si="6"/>
        <v>rigidLink	beam	2	1312</v>
      </c>
    </row>
    <row r="84" spans="1:5" x14ac:dyDescent="0.3">
      <c r="C84" s="29"/>
      <c r="D84" s="29"/>
    </row>
    <row r="85" spans="1:5" x14ac:dyDescent="0.3">
      <c r="C85" s="29"/>
      <c r="D85" s="29"/>
    </row>
    <row r="86" spans="1:5" x14ac:dyDescent="0.3">
      <c r="C86" s="29"/>
      <c r="D86" s="29"/>
    </row>
    <row r="87" spans="1:5" x14ac:dyDescent="0.3">
      <c r="C87" s="29"/>
      <c r="D87" s="29"/>
    </row>
    <row r="88" spans="1:5" x14ac:dyDescent="0.3">
      <c r="C88" s="29"/>
      <c r="D88" s="29"/>
    </row>
    <row r="89" spans="1:5" x14ac:dyDescent="0.3">
      <c r="C89" s="29"/>
      <c r="D89" s="29"/>
    </row>
    <row r="90" spans="1:5" x14ac:dyDescent="0.3">
      <c r="C90" s="29"/>
      <c r="D90" s="29"/>
    </row>
    <row r="91" spans="1:5" x14ac:dyDescent="0.3">
      <c r="C91" s="29"/>
      <c r="D91" s="29"/>
    </row>
    <row r="92" spans="1:5" x14ac:dyDescent="0.3">
      <c r="C92" s="29"/>
      <c r="D92" s="29"/>
    </row>
    <row r="93" spans="1:5" x14ac:dyDescent="0.3">
      <c r="C93" s="29"/>
      <c r="D93" s="29"/>
    </row>
    <row r="94" spans="1:5" x14ac:dyDescent="0.3">
      <c r="C94" s="29"/>
      <c r="D94" s="29"/>
    </row>
    <row r="95" spans="1:5" x14ac:dyDescent="0.3">
      <c r="C95" s="29"/>
      <c r="D95" s="29"/>
    </row>
    <row r="96" spans="1:5" x14ac:dyDescent="0.3">
      <c r="C96" s="29"/>
      <c r="D96" s="29"/>
    </row>
    <row r="97" spans="3:4" x14ac:dyDescent="0.3">
      <c r="C97" s="29"/>
      <c r="D97" s="29"/>
    </row>
    <row r="98" spans="3:4" x14ac:dyDescent="0.3">
      <c r="C98" s="29"/>
      <c r="D98" s="29"/>
    </row>
    <row r="99" spans="3:4" x14ac:dyDescent="0.3">
      <c r="C99" s="29"/>
      <c r="D99" s="29"/>
    </row>
    <row r="100" spans="3:4" x14ac:dyDescent="0.3">
      <c r="C100" s="29"/>
      <c r="D100" s="29"/>
    </row>
    <row r="101" spans="3:4" x14ac:dyDescent="0.3">
      <c r="C101" s="29"/>
      <c r="D101" s="29"/>
    </row>
  </sheetData>
  <phoneticPr fontId="1" type="noConversion"/>
  <pageMargins left="0.7" right="0.7" top="0.78740157499999996" bottom="0.78740157499999996" header="0.3" footer="0.3"/>
  <pageSetup paperSize="9" scale="95" orientation="portrait" r:id="rId1"/>
  <headerFooter>
    <oddHeader>&amp;LMaster Thesis 2023/2024&amp;CSt. Lawrence Parish House,
Petrinja, Croatia&amp;R&amp;G</oddHeader>
    <oddFooter>&amp;L&amp;A&amp;CModel: Initial state&amp;R&amp;P</oddFooter>
  </headerFooter>
  <rowBreaks count="1" manualBreakCount="1">
    <brk id="77" max="16383" man="1"/>
  </rowBreaks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BDFD-33C4-491F-89F2-50413283D966}">
  <sheetPr>
    <tabColor theme="4"/>
  </sheetPr>
  <dimension ref="A1:P144"/>
  <sheetViews>
    <sheetView view="pageLayout" zoomScaleNormal="100" workbookViewId="0">
      <selection activeCell="H5" sqref="H5"/>
    </sheetView>
  </sheetViews>
  <sheetFormatPr baseColWidth="10" defaultColWidth="10.6640625" defaultRowHeight="14" x14ac:dyDescent="0.3"/>
  <cols>
    <col min="1" max="1" width="12.75" customWidth="1"/>
    <col min="2" max="4" width="7.33203125" bestFit="1" customWidth="1"/>
    <col min="5" max="7" width="6.33203125" bestFit="1" customWidth="1"/>
    <col min="8" max="8" width="53" bestFit="1" customWidth="1"/>
  </cols>
  <sheetData>
    <row r="1" spans="1:13" ht="17" thickBot="1" x14ac:dyDescent="0.4">
      <c r="A1" s="60" t="s">
        <v>394</v>
      </c>
      <c r="B1" s="58"/>
      <c r="C1" s="59"/>
      <c r="D1" s="59"/>
      <c r="E1" s="58"/>
      <c r="F1" s="58"/>
      <c r="G1" s="58"/>
      <c r="H1" s="58"/>
    </row>
    <row r="2" spans="1:13" ht="14.5" thickTop="1" x14ac:dyDescent="0.3">
      <c r="A2" s="61" t="s">
        <v>378</v>
      </c>
      <c r="C2" t="s">
        <v>379</v>
      </c>
      <c r="D2" s="25"/>
    </row>
    <row r="3" spans="1:13" x14ac:dyDescent="0.3">
      <c r="A3" s="61" t="s">
        <v>375</v>
      </c>
      <c r="C3" s="140">
        <f ca="1">TODAY()</f>
        <v>45304</v>
      </c>
      <c r="D3" s="140"/>
    </row>
    <row r="4" spans="1:13" x14ac:dyDescent="0.3">
      <c r="A4" s="61" t="s">
        <v>376</v>
      </c>
      <c r="C4" t="s">
        <v>381</v>
      </c>
      <c r="D4" s="25"/>
    </row>
    <row r="5" spans="1:13" x14ac:dyDescent="0.3">
      <c r="A5" s="61" t="s">
        <v>377</v>
      </c>
      <c r="C5" t="s">
        <v>396</v>
      </c>
      <c r="D5" s="25"/>
    </row>
    <row r="6" spans="1:13" x14ac:dyDescent="0.3">
      <c r="A6" s="61"/>
      <c r="E6" s="25"/>
    </row>
    <row r="7" spans="1:13" s="61" customFormat="1" x14ac:dyDescent="0.3">
      <c r="A7" s="61" t="s">
        <v>19</v>
      </c>
    </row>
    <row r="8" spans="1:13" s="61" customFormat="1" x14ac:dyDescent="0.3">
      <c r="A8" s="61" t="s">
        <v>14</v>
      </c>
      <c r="B8" s="61" t="s">
        <v>12</v>
      </c>
      <c r="C8" s="61" t="s">
        <v>13</v>
      </c>
      <c r="D8" s="61" t="s">
        <v>16</v>
      </c>
      <c r="E8" s="72" t="s">
        <v>17</v>
      </c>
      <c r="F8" s="61" t="s">
        <v>15</v>
      </c>
      <c r="G8" s="61" t="s">
        <v>18</v>
      </c>
      <c r="H8" s="61" t="str">
        <f>TRIM(_xlfn.TEXTJOIN(CHAR(9),TRUE,"#mass",A8:G8))</f>
        <v>#mass	Nodes	X	Y	Z	RX	RY	RZ</v>
      </c>
      <c r="M8" s="72"/>
    </row>
    <row r="9" spans="1:13" x14ac:dyDescent="0.3">
      <c r="A9" s="66">
        <v>1</v>
      </c>
      <c r="B9" s="65">
        <f ca="1">_xlfn.XLOOKUP(A9,M_Nodes!A:A,M_Nodes!B:B,0)+_xlfn.XLOOKUP(A9,M_Roof!A:A,M_Roof!E:E,0)+_xlfn.XLOOKUP('TCL_Nodal masses'!A9,'M_Filling material'!D:D,'M_Filling material'!R:R,0)+_xlfn.XLOOKUP('TCL_Nodal masses'!A9,'M_Filling material'!E:E,'M_Filling material'!R:R,0)+_xlfn.XLOOKUP('TCL_Nodal masses'!A9,'M_Filling material'!F:F,'M_Filling material'!R:R,0)+_xlfn.XLOOKUP('TCL_Nodal masses'!A9,'M_Filling material'!G:G,'M_Filling material'!R:R,0)+_xlfn.XLOOKUP(A9,M_Floor!C:C,M_Floor!S:S,0)+_xlfn.XLOOKUP(A9,M_Floor!D:D,M_Floor!S:S,0)+_xlfn.XLOOKUP(A9,M_Floor!E:E,M_Floor!S:S,0)+_xlfn.XLOOKUP(A9,M_Floor!F:F,M_Floor!S:S,0)</f>
        <v>4483.8055045871561</v>
      </c>
      <c r="C9" s="65">
        <f ca="1">B9</f>
        <v>4483.8055045871561</v>
      </c>
      <c r="D9" s="65">
        <f ca="1">B9</f>
        <v>4483.8055045871561</v>
      </c>
      <c r="E9" s="65">
        <f>_xlfn.XLOOKUP(A9,M_Nodes!A:A,M_Nodes!E:E,0)</f>
        <v>141.4</v>
      </c>
      <c r="F9" s="65">
        <f>_xlfn.XLOOKUP(A9,M_Nodes!A:A,M_Nodes!F:F,0)</f>
        <v>1589.1</v>
      </c>
      <c r="G9" s="65">
        <f>_xlfn.XLOOKUP(A9,M_Nodes!A:A,M_Nodes!G:G,0)</f>
        <v>1447.7</v>
      </c>
      <c r="H9" s="66" t="str" cm="1">
        <f t="array" aca="1" ref="H9" ca="1">IF(SUM(B9:G9)=0,"",TRIM(_xlfn.TEXTJOIN(CHAR(9),TRUE,"mass",A9, TEXT(ROUND(B9:G9,1),"0.0"))))</f>
        <v>mass	1	4483.8	4483.8	4483.8	141.4	1589.1	1447.7</v>
      </c>
      <c r="M9" s="25"/>
    </row>
    <row r="10" spans="1:13" x14ac:dyDescent="0.3">
      <c r="A10" s="66">
        <v>2</v>
      </c>
      <c r="B10" s="65">
        <f ca="1">_xlfn.XLOOKUP(A10,M_Nodes!A:A,M_Nodes!B:B,0)+_xlfn.XLOOKUP(A10,M_Roof!A:A,M_Roof!E:E,0)+_xlfn.XLOOKUP('TCL_Nodal masses'!A10,'M_Filling material'!D:D,'M_Filling material'!R:R,0)+_xlfn.XLOOKUP('TCL_Nodal masses'!A10,'M_Filling material'!E:E,'M_Filling material'!R:R,0)+_xlfn.XLOOKUP('TCL_Nodal masses'!A10,'M_Filling material'!F:F,'M_Filling material'!R:R,0)+_xlfn.XLOOKUP('TCL_Nodal masses'!A10,'M_Filling material'!G:G,'M_Filling material'!R:R,0)+_xlfn.XLOOKUP(A10,M_Floor!C:C,M_Floor!S:S,0)+_xlfn.XLOOKUP(A10,M_Floor!D:D,M_Floor!S:S,0)+_xlfn.XLOOKUP(A10,M_Floor!E:E,M_Floor!S:S,0)+_xlfn.XLOOKUP(A10,M_Floor!F:F,M_Floor!S:S,0)</f>
        <v>7058.7680937818559</v>
      </c>
      <c r="C10" s="65">
        <f t="shared" ref="C10:C73" ca="1" si="0">B10</f>
        <v>7058.7680937818559</v>
      </c>
      <c r="D10" s="65">
        <f t="shared" ref="D10:D73" ca="1" si="1">B10</f>
        <v>7058.7680937818559</v>
      </c>
      <c r="E10" s="65">
        <f>_xlfn.XLOOKUP(A10,M_Nodes!A:A,M_Nodes!E:E,0)</f>
        <v>169.9</v>
      </c>
      <c r="F10" s="65">
        <f>_xlfn.XLOOKUP(A10,M_Nodes!A:A,M_Nodes!F:F,0)</f>
        <v>849.6</v>
      </c>
      <c r="G10" s="65">
        <f>_xlfn.XLOOKUP(A10,M_Nodes!A:A,M_Nodes!G:G,0)</f>
        <v>679.7</v>
      </c>
      <c r="H10" s="66" t="str" cm="1">
        <f t="array" aca="1" ref="H10" ca="1">IF(SUM(B10:G10)=0,"",TRIM(_xlfn.TEXTJOIN(CHAR(9),TRUE,"mass",A10, TEXT(ROUND(B10:G10,1),"0.0"))))</f>
        <v>mass	2	7058.8	7058.8	7058.8	169.9	849.6	679.7</v>
      </c>
      <c r="M10" s="25"/>
    </row>
    <row r="11" spans="1:13" x14ac:dyDescent="0.3">
      <c r="A11" s="66">
        <v>3</v>
      </c>
      <c r="B11" s="65">
        <f ca="1">_xlfn.XLOOKUP(A11,M_Nodes!A:A,M_Nodes!B:B,0)+_xlfn.XLOOKUP(A11,M_Roof!A:A,M_Roof!E:E,0)+_xlfn.XLOOKUP('TCL_Nodal masses'!A11,'M_Filling material'!D:D,'M_Filling material'!R:R,0)+_xlfn.XLOOKUP('TCL_Nodal masses'!A11,'M_Filling material'!E:E,'M_Filling material'!R:R,0)+_xlfn.XLOOKUP('TCL_Nodal masses'!A11,'M_Filling material'!F:F,'M_Filling material'!R:R,0)+_xlfn.XLOOKUP('TCL_Nodal masses'!A11,'M_Filling material'!G:G,'M_Filling material'!R:R,0)+_xlfn.XLOOKUP(A11,M_Floor!C:C,M_Floor!S:S,0)+_xlfn.XLOOKUP(A11,M_Floor!D:D,M_Floor!S:S,0)+_xlfn.XLOOKUP(A11,M_Floor!E:E,M_Floor!S:S,0)+_xlfn.XLOOKUP(A11,M_Floor!F:F,M_Floor!S:S,0)</f>
        <v>4109.641590214067</v>
      </c>
      <c r="C11" s="65">
        <f t="shared" ca="1" si="0"/>
        <v>4109.641590214067</v>
      </c>
      <c r="D11" s="65">
        <f t="shared" ca="1" si="1"/>
        <v>4109.641590214067</v>
      </c>
      <c r="E11" s="65">
        <f>_xlfn.XLOOKUP(A11,M_Nodes!A:A,M_Nodes!E:E,0)</f>
        <v>237.3</v>
      </c>
      <c r="F11" s="65">
        <f>_xlfn.XLOOKUP(A11,M_Nodes!A:A,M_Nodes!F:F,0)</f>
        <v>237.3</v>
      </c>
      <c r="G11" s="65">
        <f>_xlfn.XLOOKUP(A11,M_Nodes!A:A,M_Nodes!G:G,0)</f>
        <v>0</v>
      </c>
      <c r="H11" s="66" t="str" cm="1">
        <f t="array" aca="1" ref="H11" ca="1">IF(SUM(B11:G11)=0,"",TRIM(_xlfn.TEXTJOIN(CHAR(9),TRUE,"mass",A11, TEXT(ROUND(B11:G11,1),"0.0"))))</f>
        <v>mass	3	4109.6	4109.6	4109.6	237.3	237.3	0.0</v>
      </c>
      <c r="M11" s="25"/>
    </row>
    <row r="12" spans="1:13" x14ac:dyDescent="0.3">
      <c r="A12" s="66">
        <v>4</v>
      </c>
      <c r="B12" s="65">
        <f>_xlfn.XLOOKUP(A12,M_Nodes!A:A,M_Nodes!B:B,0)+_xlfn.XLOOKUP(A12,M_Roof!A:A,M_Roof!E:E,0)+_xlfn.XLOOKUP('TCL_Nodal masses'!A12,'M_Filling material'!D:D,'M_Filling material'!R:R,0)+_xlfn.XLOOKUP('TCL_Nodal masses'!A12,'M_Filling material'!E:E,'M_Filling material'!R:R,0)+_xlfn.XLOOKUP('TCL_Nodal masses'!A12,'M_Filling material'!F:F,'M_Filling material'!R:R,0)+_xlfn.XLOOKUP('TCL_Nodal masses'!A12,'M_Filling material'!G:G,'M_Filling material'!R:R,0)+_xlfn.XLOOKUP(A12,M_Floor!C:C,M_Floor!S:S,0)+_xlfn.XLOOKUP(A12,M_Floor!D:D,M_Floor!S:S,0)+_xlfn.XLOOKUP(A12,M_Floor!E:E,M_Floor!S:S,0)+_xlfn.XLOOKUP(A12,M_Floor!F:F,M_Floor!S:S,0)</f>
        <v>0</v>
      </c>
      <c r="C12" s="65">
        <f t="shared" si="0"/>
        <v>0</v>
      </c>
      <c r="D12" s="65">
        <f t="shared" si="1"/>
        <v>0</v>
      </c>
      <c r="E12" s="65">
        <f>_xlfn.XLOOKUP(A12,M_Nodes!A:A,M_Nodes!E:E,0)</f>
        <v>0</v>
      </c>
      <c r="F12" s="65">
        <f>_xlfn.XLOOKUP(A12,M_Nodes!A:A,M_Nodes!F:F,0)</f>
        <v>0</v>
      </c>
      <c r="G12" s="65">
        <f>_xlfn.XLOOKUP(A12,M_Nodes!A:A,M_Nodes!G:G,0)</f>
        <v>0</v>
      </c>
      <c r="H12" s="66" t="str" cm="1">
        <f t="array" ref="H12">IF(SUM(B12:G12)=0,"",TRIM(_xlfn.TEXTJOIN(CHAR(9),TRUE,"mass",A12, TEXT(ROUND(B12:G12,1),"0.0"))))</f>
        <v/>
      </c>
      <c r="M12" s="25"/>
    </row>
    <row r="13" spans="1:13" x14ac:dyDescent="0.3">
      <c r="A13" s="66">
        <v>5</v>
      </c>
      <c r="B13" s="65">
        <f ca="1">_xlfn.XLOOKUP(A13,M_Nodes!A:A,M_Nodes!B:B,0)+_xlfn.XLOOKUP(A13,M_Roof!A:A,M_Roof!E:E,0)+_xlfn.XLOOKUP('TCL_Nodal masses'!A13,'M_Filling material'!D:D,'M_Filling material'!R:R,0)+_xlfn.XLOOKUP('TCL_Nodal masses'!A13,'M_Filling material'!E:E,'M_Filling material'!R:R,0)+_xlfn.XLOOKUP('TCL_Nodal masses'!A13,'M_Filling material'!F:F,'M_Filling material'!R:R,0)+_xlfn.XLOOKUP('TCL_Nodal masses'!A13,'M_Filling material'!G:G,'M_Filling material'!R:R,0)+_xlfn.XLOOKUP(A13,M_Floor!C:C,M_Floor!S:S,0)+_xlfn.XLOOKUP(A13,M_Floor!D:D,M_Floor!S:S,0)+_xlfn.XLOOKUP(A13,M_Floor!E:E,M_Floor!S:S,0)+_xlfn.XLOOKUP(A13,M_Floor!F:F,M_Floor!S:S,0)</f>
        <v>5781.6252293577973</v>
      </c>
      <c r="C13" s="65">
        <f t="shared" ca="1" si="0"/>
        <v>5781.6252293577973</v>
      </c>
      <c r="D13" s="65">
        <f t="shared" ca="1" si="1"/>
        <v>5781.6252293577973</v>
      </c>
      <c r="E13" s="65">
        <f>_xlfn.XLOOKUP(A13,M_Nodes!A:A,M_Nodes!E:E,0)</f>
        <v>169.9</v>
      </c>
      <c r="F13" s="65">
        <f>_xlfn.XLOOKUP(A13,M_Nodes!A:A,M_Nodes!F:F,0)</f>
        <v>849.6</v>
      </c>
      <c r="G13" s="65">
        <f>_xlfn.XLOOKUP(A13,M_Nodes!A:A,M_Nodes!G:G,0)</f>
        <v>679.7</v>
      </c>
      <c r="H13" s="66" t="str" cm="1">
        <f t="array" aca="1" ref="H13" ca="1">IF(SUM(B13:G13)=0,"",TRIM(_xlfn.TEXTJOIN(CHAR(9),TRUE,"mass",A13, TEXT(ROUND(B13:G13,1),"0.0"))))</f>
        <v>mass	5	5781.6	5781.6	5781.6	169.9	849.6	679.7</v>
      </c>
      <c r="M13" s="25"/>
    </row>
    <row r="14" spans="1:13" x14ac:dyDescent="0.3">
      <c r="A14" s="66">
        <v>6</v>
      </c>
      <c r="B14" s="65">
        <f ca="1">_xlfn.XLOOKUP(A14,M_Nodes!A:A,M_Nodes!B:B,0)+_xlfn.XLOOKUP(A14,M_Roof!A:A,M_Roof!E:E,0)+_xlfn.XLOOKUP('TCL_Nodal masses'!A14,'M_Filling material'!D:D,'M_Filling material'!R:R,0)+_xlfn.XLOOKUP('TCL_Nodal masses'!A14,'M_Filling material'!E:E,'M_Filling material'!R:R,0)+_xlfn.XLOOKUP('TCL_Nodal masses'!A14,'M_Filling material'!F:F,'M_Filling material'!R:R,0)+_xlfn.XLOOKUP('TCL_Nodal masses'!A14,'M_Filling material'!G:G,'M_Filling material'!R:R,0)+_xlfn.XLOOKUP(A14,M_Floor!C:C,M_Floor!S:S,0)+_xlfn.XLOOKUP(A14,M_Floor!D:D,M_Floor!S:S,0)+_xlfn.XLOOKUP(A14,M_Floor!E:E,M_Floor!S:S,0)+_xlfn.XLOOKUP(A14,M_Floor!F:F,M_Floor!S:S,0)</f>
        <v>2695.9016819571862</v>
      </c>
      <c r="C14" s="65">
        <f t="shared" ca="1" si="0"/>
        <v>2695.9016819571862</v>
      </c>
      <c r="D14" s="65">
        <f t="shared" ca="1" si="1"/>
        <v>2695.9016819571862</v>
      </c>
      <c r="E14" s="65">
        <f>_xlfn.XLOOKUP(A14,M_Nodes!A:A,M_Nodes!E:E,0)</f>
        <v>141.4</v>
      </c>
      <c r="F14" s="65">
        <f>_xlfn.XLOOKUP(A14,M_Nodes!A:A,M_Nodes!F:F,0)</f>
        <v>1589.1</v>
      </c>
      <c r="G14" s="65">
        <f>_xlfn.XLOOKUP(A14,M_Nodes!A:A,M_Nodes!G:G,0)</f>
        <v>1447.7</v>
      </c>
      <c r="H14" s="66" t="str" cm="1">
        <f t="array" aca="1" ref="H14" ca="1">IF(SUM(B14:G14)=0,"",TRIM(_xlfn.TEXTJOIN(CHAR(9),TRUE,"mass",A14, TEXT(ROUND(B14:G14,1),"0.0"))))</f>
        <v>mass	6	2695.9	2695.9	2695.9	141.4	1589.1	1447.7</v>
      </c>
      <c r="M14" s="25"/>
    </row>
    <row r="15" spans="1:13" x14ac:dyDescent="0.3">
      <c r="A15" s="66">
        <v>7</v>
      </c>
      <c r="B15" s="65">
        <f>_xlfn.XLOOKUP(A15,M_Nodes!A:A,M_Nodes!B:B,0)+_xlfn.XLOOKUP(A15,M_Roof!A:A,M_Roof!E:E,0)+_xlfn.XLOOKUP('TCL_Nodal masses'!A15,'M_Filling material'!D:D,'M_Filling material'!R:R,0)+_xlfn.XLOOKUP('TCL_Nodal masses'!A15,'M_Filling material'!E:E,'M_Filling material'!R:R,0)+_xlfn.XLOOKUP('TCL_Nodal masses'!A15,'M_Filling material'!F:F,'M_Filling material'!R:R,0)+_xlfn.XLOOKUP('TCL_Nodal masses'!A15,'M_Filling material'!G:G,'M_Filling material'!R:R,0)+_xlfn.XLOOKUP(A15,M_Floor!C:C,M_Floor!S:S,0)+_xlfn.XLOOKUP(A15,M_Floor!D:D,M_Floor!S:S,0)+_xlfn.XLOOKUP(A15,M_Floor!E:E,M_Floor!S:S,0)+_xlfn.XLOOKUP(A15,M_Floor!F:F,M_Floor!S:S,0)</f>
        <v>3481.9</v>
      </c>
      <c r="C15" s="65">
        <f t="shared" si="0"/>
        <v>3481.9</v>
      </c>
      <c r="D15" s="65">
        <f t="shared" si="1"/>
        <v>3481.9</v>
      </c>
      <c r="E15" s="65">
        <f>_xlfn.XLOOKUP(A15,M_Nodes!A:A,M_Nodes!E:E,0)</f>
        <v>263.3</v>
      </c>
      <c r="F15" s="65">
        <f>_xlfn.XLOOKUP(A15,M_Nodes!A:A,M_Nodes!F:F,0)</f>
        <v>4029.4</v>
      </c>
      <c r="G15" s="65">
        <f>_xlfn.XLOOKUP(A15,M_Nodes!A:A,M_Nodes!G:G,0)</f>
        <v>3766</v>
      </c>
      <c r="H15" s="66" t="str" cm="1">
        <f t="array" ref="H15">IF(SUM(B15:G15)=0,"",TRIM(_xlfn.TEXTJOIN(CHAR(9),TRUE,"mass",A15, TEXT(ROUND(B15:G15,1),"0.0"))))</f>
        <v>mass	7	3481.9	3481.9	3481.9	263.3	4029.4	3766.0</v>
      </c>
      <c r="M15" s="25"/>
    </row>
    <row r="16" spans="1:13" x14ac:dyDescent="0.3">
      <c r="A16" s="66">
        <v>8</v>
      </c>
      <c r="B16" s="65">
        <f ca="1">_xlfn.XLOOKUP(A16,M_Nodes!A:A,M_Nodes!B:B,0)+_xlfn.XLOOKUP(A16,M_Roof!A:A,M_Roof!E:E,0)+_xlfn.XLOOKUP('TCL_Nodal masses'!A16,'M_Filling material'!D:D,'M_Filling material'!R:R,0)+_xlfn.XLOOKUP('TCL_Nodal masses'!A16,'M_Filling material'!E:E,'M_Filling material'!R:R,0)+_xlfn.XLOOKUP('TCL_Nodal masses'!A16,'M_Filling material'!F:F,'M_Filling material'!R:R,0)+_xlfn.XLOOKUP('TCL_Nodal masses'!A16,'M_Filling material'!G:G,'M_Filling material'!R:R,0)+_xlfn.XLOOKUP(A16,M_Floor!C:C,M_Floor!S:S,0)+_xlfn.XLOOKUP(A16,M_Floor!D:D,M_Floor!S:S,0)+_xlfn.XLOOKUP(A16,M_Floor!E:E,M_Floor!S:S,0)+_xlfn.XLOOKUP(A16,M_Floor!F:F,M_Floor!S:S,0)</f>
        <v>5119.400564449541</v>
      </c>
      <c r="C16" s="65">
        <f t="shared" ca="1" si="0"/>
        <v>5119.400564449541</v>
      </c>
      <c r="D16" s="65">
        <f t="shared" ca="1" si="1"/>
        <v>5119.400564449541</v>
      </c>
      <c r="E16" s="65">
        <f>_xlfn.XLOOKUP(A16,M_Nodes!A:A,M_Nodes!E:E,0)</f>
        <v>316.5</v>
      </c>
      <c r="F16" s="65">
        <f>_xlfn.XLOOKUP(A16,M_Nodes!A:A,M_Nodes!F:F,0)</f>
        <v>2084.6999999999998</v>
      </c>
      <c r="G16" s="65">
        <f>_xlfn.XLOOKUP(A16,M_Nodes!A:A,M_Nodes!G:G,0)</f>
        <v>1768.2</v>
      </c>
      <c r="H16" s="66" t="str" cm="1">
        <f t="array" aca="1" ref="H16" ca="1">IF(SUM(B16:G16)=0,"",TRIM(_xlfn.TEXTJOIN(CHAR(9),TRUE,"mass",A16, TEXT(ROUND(B16:G16,1),"0.0"))))</f>
        <v>mass	8	5119.4	5119.4	5119.4	316.5	2084.7	1768.2</v>
      </c>
      <c r="M16" s="25"/>
    </row>
    <row r="17" spans="1:13" x14ac:dyDescent="0.3">
      <c r="A17" s="66">
        <v>9</v>
      </c>
      <c r="B17" s="65">
        <f>_xlfn.XLOOKUP(A17,M_Nodes!A:A,M_Nodes!B:B,0)+_xlfn.XLOOKUP(A17,M_Roof!A:A,M_Roof!E:E,0)+_xlfn.XLOOKUP('TCL_Nodal masses'!A17,'M_Filling material'!D:D,'M_Filling material'!R:R,0)+_xlfn.XLOOKUP('TCL_Nodal masses'!A17,'M_Filling material'!E:E,'M_Filling material'!R:R,0)+_xlfn.XLOOKUP('TCL_Nodal masses'!A17,'M_Filling material'!F:F,'M_Filling material'!R:R,0)+_xlfn.XLOOKUP('TCL_Nodal masses'!A17,'M_Filling material'!G:G,'M_Filling material'!R:R,0)+_xlfn.XLOOKUP(A17,M_Floor!C:C,M_Floor!S:S,0)+_xlfn.XLOOKUP(A17,M_Floor!D:D,M_Floor!S:S,0)+_xlfn.XLOOKUP(A17,M_Floor!E:E,M_Floor!S:S,0)+_xlfn.XLOOKUP(A17,M_Floor!F:F,M_Floor!S:S,0)</f>
        <v>5356.8</v>
      </c>
      <c r="C17" s="65">
        <f t="shared" si="0"/>
        <v>5356.8</v>
      </c>
      <c r="D17" s="65">
        <f t="shared" si="1"/>
        <v>5356.8</v>
      </c>
      <c r="E17" s="65">
        <f>_xlfn.XLOOKUP(A17,M_Nodes!A:A,M_Nodes!E:E,0)</f>
        <v>405.1</v>
      </c>
      <c r="F17" s="65">
        <f>_xlfn.XLOOKUP(A17,M_Nodes!A:A,M_Nodes!F:F,0)</f>
        <v>405.1</v>
      </c>
      <c r="G17" s="65">
        <f>_xlfn.XLOOKUP(A17,M_Nodes!A:A,M_Nodes!G:G,0)</f>
        <v>0</v>
      </c>
      <c r="H17" s="66" t="str" cm="1">
        <f t="array" ref="H17">IF(SUM(B17:G17)=0,"",TRIM(_xlfn.TEXTJOIN(CHAR(9),TRUE,"mass",A17, TEXT(ROUND(B17:G17,1),"0.0"))))</f>
        <v>mass	9	5356.8	5356.8	5356.8	405.1	405.1	0.0</v>
      </c>
      <c r="M17" s="25"/>
    </row>
    <row r="18" spans="1:13" x14ac:dyDescent="0.3">
      <c r="A18" s="66">
        <v>10</v>
      </c>
      <c r="B18" s="65">
        <f>_xlfn.XLOOKUP(A18,M_Nodes!A:A,M_Nodes!B:B,0)+_xlfn.XLOOKUP(A18,M_Roof!A:A,M_Roof!E:E,0)+_xlfn.XLOOKUP('TCL_Nodal masses'!A18,'M_Filling material'!D:D,'M_Filling material'!R:R,0)+_xlfn.XLOOKUP('TCL_Nodal masses'!A18,'M_Filling material'!E:E,'M_Filling material'!R:R,0)+_xlfn.XLOOKUP('TCL_Nodal masses'!A18,'M_Filling material'!F:F,'M_Filling material'!R:R,0)+_xlfn.XLOOKUP('TCL_Nodal masses'!A18,'M_Filling material'!G:G,'M_Filling material'!R:R,0)+_xlfn.XLOOKUP(A18,M_Floor!C:C,M_Floor!S:S,0)+_xlfn.XLOOKUP(A18,M_Floor!D:D,M_Floor!S:S,0)+_xlfn.XLOOKUP(A18,M_Floor!E:E,M_Floor!S:S,0)+_xlfn.XLOOKUP(A18,M_Floor!F:F,M_Floor!S:S,0)</f>
        <v>0</v>
      </c>
      <c r="C18" s="65">
        <f t="shared" si="0"/>
        <v>0</v>
      </c>
      <c r="D18" s="65">
        <f t="shared" si="1"/>
        <v>0</v>
      </c>
      <c r="E18" s="65">
        <f>_xlfn.XLOOKUP(A18,M_Nodes!A:A,M_Nodes!E:E,0)</f>
        <v>0</v>
      </c>
      <c r="F18" s="65">
        <f>_xlfn.XLOOKUP(A18,M_Nodes!A:A,M_Nodes!F:F,0)</f>
        <v>0</v>
      </c>
      <c r="G18" s="65">
        <f>_xlfn.XLOOKUP(A18,M_Nodes!A:A,M_Nodes!G:G,0)</f>
        <v>0</v>
      </c>
      <c r="H18" s="66" t="str" cm="1">
        <f t="array" ref="H18">IF(SUM(B18:G18)=0,"",TRIM(_xlfn.TEXTJOIN(CHAR(9),TRUE,"mass",A18, TEXT(ROUND(B18:G18,1),"0.0"))))</f>
        <v/>
      </c>
      <c r="M18" s="25"/>
    </row>
    <row r="19" spans="1:13" x14ac:dyDescent="0.3">
      <c r="A19" s="66">
        <v>11</v>
      </c>
      <c r="B19" s="65">
        <f ca="1">_xlfn.XLOOKUP(A19,M_Nodes!A:A,M_Nodes!B:B,0)+_xlfn.XLOOKUP(A19,M_Roof!A:A,M_Roof!E:E,0)+_xlfn.XLOOKUP('TCL_Nodal masses'!A19,'M_Filling material'!D:D,'M_Filling material'!R:R,0)+_xlfn.XLOOKUP('TCL_Nodal masses'!A19,'M_Filling material'!E:E,'M_Filling material'!R:R,0)+_xlfn.XLOOKUP('TCL_Nodal masses'!A19,'M_Filling material'!F:F,'M_Filling material'!R:R,0)+_xlfn.XLOOKUP('TCL_Nodal masses'!A19,'M_Filling material'!G:G,'M_Filling material'!R:R,0)+_xlfn.XLOOKUP(A19,M_Floor!C:C,M_Floor!S:S,0)+_xlfn.XLOOKUP(A19,M_Floor!D:D,M_Floor!S:S,0)+_xlfn.XLOOKUP(A19,M_Floor!E:E,M_Floor!S:S,0)+_xlfn.XLOOKUP(A19,M_Floor!F:F,M_Floor!S:S,0)</f>
        <v>6287.9986153236932</v>
      </c>
      <c r="C19" s="65">
        <f t="shared" ca="1" si="0"/>
        <v>6287.9986153236932</v>
      </c>
      <c r="D19" s="65">
        <f t="shared" ca="1" si="1"/>
        <v>6287.9986153236932</v>
      </c>
      <c r="E19" s="65">
        <f>_xlfn.XLOOKUP(A19,M_Nodes!A:A,M_Nodes!E:E,0)</f>
        <v>316.5</v>
      </c>
      <c r="F19" s="65">
        <f>_xlfn.XLOOKUP(A19,M_Nodes!A:A,M_Nodes!F:F,0)</f>
        <v>2084.6999999999998</v>
      </c>
      <c r="G19" s="65">
        <f>_xlfn.XLOOKUP(A19,M_Nodes!A:A,M_Nodes!G:G,0)</f>
        <v>1768.2</v>
      </c>
      <c r="H19" s="66" t="str" cm="1">
        <f t="array" aca="1" ref="H19" ca="1">IF(SUM(B19:G19)=0,"",TRIM(_xlfn.TEXTJOIN(CHAR(9),TRUE,"mass",A19, TEXT(ROUND(B19:G19,1),"0.0"))))</f>
        <v>mass	11	6288.0	6288.0	6288.0	316.5	2084.7	1768.2</v>
      </c>
      <c r="M19" s="25"/>
    </row>
    <row r="20" spans="1:13" x14ac:dyDescent="0.3">
      <c r="A20" s="66">
        <v>12</v>
      </c>
      <c r="B20" s="65">
        <f ca="1">_xlfn.XLOOKUP(A20,M_Nodes!A:A,M_Nodes!B:B,0)+_xlfn.XLOOKUP(A20,M_Roof!A:A,M_Roof!E:E,0)+_xlfn.XLOOKUP('TCL_Nodal masses'!A20,'M_Filling material'!D:D,'M_Filling material'!R:R,0)+_xlfn.XLOOKUP('TCL_Nodal masses'!A20,'M_Filling material'!E:E,'M_Filling material'!R:R,0)+_xlfn.XLOOKUP('TCL_Nodal masses'!A20,'M_Filling material'!F:F,'M_Filling material'!R:R,0)+_xlfn.XLOOKUP('TCL_Nodal masses'!A20,'M_Filling material'!G:G,'M_Filling material'!R:R,0)+_xlfn.XLOOKUP(A20,M_Floor!C:C,M_Floor!S:S,0)+_xlfn.XLOOKUP(A20,M_Floor!D:D,M_Floor!S:S,0)+_xlfn.XLOOKUP(A20,M_Floor!E:E,M_Floor!S:S,0)+_xlfn.XLOOKUP(A20,M_Floor!F:F,M_Floor!S:S,0)</f>
        <v>4590.272102995712</v>
      </c>
      <c r="C20" s="65">
        <f t="shared" ca="1" si="0"/>
        <v>4590.272102995712</v>
      </c>
      <c r="D20" s="65">
        <f t="shared" ca="1" si="1"/>
        <v>4590.272102995712</v>
      </c>
      <c r="E20" s="65">
        <f>_xlfn.XLOOKUP(A20,M_Nodes!A:A,M_Nodes!E:E,0)</f>
        <v>263.3</v>
      </c>
      <c r="F20" s="65">
        <f>_xlfn.XLOOKUP(A20,M_Nodes!A:A,M_Nodes!F:F,0)</f>
        <v>4029.4</v>
      </c>
      <c r="G20" s="65">
        <f>_xlfn.XLOOKUP(A20,M_Nodes!A:A,M_Nodes!G:G,0)</f>
        <v>3766</v>
      </c>
      <c r="H20" s="66" t="str" cm="1">
        <f t="array" aca="1" ref="H20" ca="1">IF(SUM(B20:G20)=0,"",TRIM(_xlfn.TEXTJOIN(CHAR(9),TRUE,"mass",A20, TEXT(ROUND(B20:G20,1),"0.0"))))</f>
        <v>mass	12	4590.3	4590.3	4590.3	263.3	4029.4	3766.0</v>
      </c>
      <c r="M20" s="25"/>
    </row>
    <row r="21" spans="1:13" x14ac:dyDescent="0.3">
      <c r="A21" s="66">
        <v>13</v>
      </c>
      <c r="B21" s="65">
        <f>_xlfn.XLOOKUP(A21,M_Nodes!A:A,M_Nodes!B:B,0)+_xlfn.XLOOKUP(A21,M_Roof!A:A,M_Roof!E:E,0)+_xlfn.XLOOKUP('TCL_Nodal masses'!A21,'M_Filling material'!D:D,'M_Filling material'!R:R,0)+_xlfn.XLOOKUP('TCL_Nodal masses'!A21,'M_Filling material'!E:E,'M_Filling material'!R:R,0)+_xlfn.XLOOKUP('TCL_Nodal masses'!A21,'M_Filling material'!F:F,'M_Filling material'!R:R,0)+_xlfn.XLOOKUP('TCL_Nodal masses'!A21,'M_Filling material'!G:G,'M_Filling material'!R:R,0)+_xlfn.XLOOKUP(A21,M_Floor!C:C,M_Floor!S:S,0)+_xlfn.XLOOKUP(A21,M_Floor!D:D,M_Floor!S:S,0)+_xlfn.XLOOKUP(A21,M_Floor!E:E,M_Floor!S:S,0)+_xlfn.XLOOKUP(A21,M_Floor!F:F,M_Floor!S:S,0)</f>
        <v>2096.6</v>
      </c>
      <c r="C21" s="65">
        <f t="shared" si="0"/>
        <v>2096.6</v>
      </c>
      <c r="D21" s="65">
        <f t="shared" si="1"/>
        <v>2096.6</v>
      </c>
      <c r="E21" s="65">
        <f>_xlfn.XLOOKUP(A21,M_Nodes!A:A,M_Nodes!E:E,0)</f>
        <v>335.5</v>
      </c>
      <c r="F21" s="65">
        <f>_xlfn.XLOOKUP(A21,M_Nodes!A:A,M_Nodes!F:F,0)</f>
        <v>2603.1999999999998</v>
      </c>
      <c r="G21" s="65">
        <f>_xlfn.XLOOKUP(A21,M_Nodes!A:A,M_Nodes!G:G,0)</f>
        <v>2267.6999999999998</v>
      </c>
      <c r="H21" s="66" t="str" cm="1">
        <f t="array" ref="H21">IF(SUM(B21:G21)=0,"",TRIM(_xlfn.TEXTJOIN(CHAR(9),TRUE,"mass",A21, TEXT(ROUND(B21:G21,1),"0.0"))))</f>
        <v>mass	13	2096.6	2096.6	2096.6	335.5	2603.2	2267.7</v>
      </c>
      <c r="M21" s="25"/>
    </row>
    <row r="22" spans="1:13" x14ac:dyDescent="0.3">
      <c r="A22" s="66">
        <v>14</v>
      </c>
      <c r="B22" s="65">
        <f>_xlfn.XLOOKUP(A22,M_Nodes!A:A,M_Nodes!B:B,0)+_xlfn.XLOOKUP(A22,M_Roof!A:A,M_Roof!E:E,0)+_xlfn.XLOOKUP('TCL_Nodal masses'!A22,'M_Filling material'!D:D,'M_Filling material'!R:R,0)+_xlfn.XLOOKUP('TCL_Nodal masses'!A22,'M_Filling material'!E:E,'M_Filling material'!R:R,0)+_xlfn.XLOOKUP('TCL_Nodal masses'!A22,'M_Filling material'!F:F,'M_Filling material'!R:R,0)+_xlfn.XLOOKUP('TCL_Nodal masses'!A22,'M_Filling material'!G:G,'M_Filling material'!R:R,0)+_xlfn.XLOOKUP(A22,M_Floor!C:C,M_Floor!S:S,0)+_xlfn.XLOOKUP(A22,M_Floor!D:D,M_Floor!S:S,0)+_xlfn.XLOOKUP(A22,M_Floor!E:E,M_Floor!S:S,0)+_xlfn.XLOOKUP(A22,M_Floor!F:F,M_Floor!S:S,0)</f>
        <v>2520</v>
      </c>
      <c r="C22" s="65">
        <f t="shared" si="0"/>
        <v>2520</v>
      </c>
      <c r="D22" s="65">
        <f t="shared" si="1"/>
        <v>2520</v>
      </c>
      <c r="E22" s="65">
        <f>_xlfn.XLOOKUP(A22,M_Nodes!A:A,M_Nodes!E:E,0)</f>
        <v>403.2</v>
      </c>
      <c r="F22" s="65">
        <f>_xlfn.XLOOKUP(A22,M_Nodes!A:A,M_Nodes!F:F,0)</f>
        <v>1467.9</v>
      </c>
      <c r="G22" s="65">
        <f>_xlfn.XLOOKUP(A22,M_Nodes!A:A,M_Nodes!G:G,0)</f>
        <v>1064.7</v>
      </c>
      <c r="H22" s="66" t="str" cm="1">
        <f t="array" ref="H22">IF(SUM(B22:G22)=0,"",TRIM(_xlfn.TEXTJOIN(CHAR(9),TRUE,"mass",A22, TEXT(ROUND(B22:G22,1),"0.0"))))</f>
        <v>mass	14	2520.0	2520.0	2520.0	403.2	1467.9	1064.7</v>
      </c>
      <c r="M22" s="25"/>
    </row>
    <row r="23" spans="1:13" x14ac:dyDescent="0.3">
      <c r="A23" s="66">
        <v>15</v>
      </c>
      <c r="B23" s="65">
        <f>_xlfn.XLOOKUP(A23,M_Nodes!A:A,M_Nodes!B:B,0)+_xlfn.XLOOKUP(A23,M_Roof!A:A,M_Roof!E:E,0)+_xlfn.XLOOKUP('TCL_Nodal masses'!A23,'M_Filling material'!D:D,'M_Filling material'!R:R,0)+_xlfn.XLOOKUP('TCL_Nodal masses'!A23,'M_Filling material'!E:E,'M_Filling material'!R:R,0)+_xlfn.XLOOKUP('TCL_Nodal masses'!A23,'M_Filling material'!F:F,'M_Filling material'!R:R,0)+_xlfn.XLOOKUP('TCL_Nodal masses'!A23,'M_Filling material'!G:G,'M_Filling material'!R:R,0)+_xlfn.XLOOKUP(A23,M_Floor!C:C,M_Floor!S:S,0)+_xlfn.XLOOKUP(A23,M_Floor!D:D,M_Floor!S:S,0)+_xlfn.XLOOKUP(A23,M_Floor!E:E,M_Floor!S:S,0)+_xlfn.XLOOKUP(A23,M_Floor!F:F,M_Floor!S:S,0)</f>
        <v>0</v>
      </c>
      <c r="C23" s="65">
        <f t="shared" si="0"/>
        <v>0</v>
      </c>
      <c r="D23" s="65">
        <f t="shared" si="1"/>
        <v>0</v>
      </c>
      <c r="E23" s="65">
        <f>_xlfn.XLOOKUP(A23,M_Nodes!A:A,M_Nodes!E:E,0)</f>
        <v>0</v>
      </c>
      <c r="F23" s="65">
        <f>_xlfn.XLOOKUP(A23,M_Nodes!A:A,M_Nodes!F:F,0)</f>
        <v>0</v>
      </c>
      <c r="G23" s="65">
        <f>_xlfn.XLOOKUP(A23,M_Nodes!A:A,M_Nodes!G:G,0)</f>
        <v>0</v>
      </c>
      <c r="H23" s="66" t="str" cm="1">
        <f t="array" ref="H23">IF(SUM(B23:G23)=0,"",TRIM(_xlfn.TEXTJOIN(CHAR(9),TRUE,"mass",A23, TEXT(ROUND(B23:G23,1),"0.0"))))</f>
        <v/>
      </c>
      <c r="M23" s="25"/>
    </row>
    <row r="24" spans="1:13" x14ac:dyDescent="0.3">
      <c r="A24" s="66">
        <v>16</v>
      </c>
      <c r="B24" s="65">
        <f>_xlfn.XLOOKUP(A24,M_Nodes!A:A,M_Nodes!B:B,0)+_xlfn.XLOOKUP(A24,M_Roof!A:A,M_Roof!E:E,0)+_xlfn.XLOOKUP('TCL_Nodal masses'!A24,'M_Filling material'!D:D,'M_Filling material'!R:R,0)+_xlfn.XLOOKUP('TCL_Nodal masses'!A24,'M_Filling material'!E:E,'M_Filling material'!R:R,0)+_xlfn.XLOOKUP('TCL_Nodal masses'!A24,'M_Filling material'!F:F,'M_Filling material'!R:R,0)+_xlfn.XLOOKUP('TCL_Nodal masses'!A24,'M_Filling material'!G:G,'M_Filling material'!R:R,0)+_xlfn.XLOOKUP(A24,M_Floor!C:C,M_Floor!S:S,0)+_xlfn.XLOOKUP(A24,M_Floor!D:D,M_Floor!S:S,0)+_xlfn.XLOOKUP(A24,M_Floor!E:E,M_Floor!S:S,0)+_xlfn.XLOOKUP(A24,M_Floor!F:F,M_Floor!S:S,0)</f>
        <v>0</v>
      </c>
      <c r="C24" s="65">
        <f t="shared" si="0"/>
        <v>0</v>
      </c>
      <c r="D24" s="65">
        <f t="shared" si="1"/>
        <v>0</v>
      </c>
      <c r="E24" s="65">
        <f>_xlfn.XLOOKUP(A24,M_Nodes!A:A,M_Nodes!E:E,0)</f>
        <v>0</v>
      </c>
      <c r="F24" s="65">
        <f>_xlfn.XLOOKUP(A24,M_Nodes!A:A,M_Nodes!F:F,0)</f>
        <v>0</v>
      </c>
      <c r="G24" s="65">
        <f>_xlfn.XLOOKUP(A24,M_Nodes!A:A,M_Nodes!G:G,0)</f>
        <v>0</v>
      </c>
      <c r="H24" s="66" t="str" cm="1">
        <f t="array" ref="H24">IF(SUM(B24:G24)=0,"",TRIM(_xlfn.TEXTJOIN(CHAR(9),TRUE,"mass",A24, TEXT(ROUND(B24:G24,1),"0.0"))))</f>
        <v/>
      </c>
      <c r="M24" s="25"/>
    </row>
    <row r="25" spans="1:13" x14ac:dyDescent="0.3">
      <c r="A25" s="66">
        <v>17</v>
      </c>
      <c r="B25" s="65">
        <f>_xlfn.XLOOKUP(A25,M_Nodes!A:A,M_Nodes!B:B,0)+_xlfn.XLOOKUP(A25,M_Roof!A:A,M_Roof!E:E,0)+_xlfn.XLOOKUP('TCL_Nodal masses'!A25,'M_Filling material'!D:D,'M_Filling material'!R:R,0)+_xlfn.XLOOKUP('TCL_Nodal masses'!A25,'M_Filling material'!E:E,'M_Filling material'!R:R,0)+_xlfn.XLOOKUP('TCL_Nodal masses'!A25,'M_Filling material'!F:F,'M_Filling material'!R:R,0)+_xlfn.XLOOKUP('TCL_Nodal masses'!A25,'M_Filling material'!G:G,'M_Filling material'!R:R,0)+_xlfn.XLOOKUP(A25,M_Floor!C:C,M_Floor!S:S,0)+_xlfn.XLOOKUP(A25,M_Floor!D:D,M_Floor!S:S,0)+_xlfn.XLOOKUP(A25,M_Floor!E:E,M_Floor!S:S,0)+_xlfn.XLOOKUP(A25,M_Floor!F:F,M_Floor!S:S,0)</f>
        <v>2520</v>
      </c>
      <c r="C25" s="65">
        <f t="shared" si="0"/>
        <v>2520</v>
      </c>
      <c r="D25" s="65">
        <f t="shared" si="1"/>
        <v>2520</v>
      </c>
      <c r="E25" s="65">
        <f>_xlfn.XLOOKUP(A25,M_Nodes!A:A,M_Nodes!E:E,0)</f>
        <v>403.2</v>
      </c>
      <c r="F25" s="65">
        <f>_xlfn.XLOOKUP(A25,M_Nodes!A:A,M_Nodes!F:F,0)</f>
        <v>1467.9</v>
      </c>
      <c r="G25" s="65">
        <f>_xlfn.XLOOKUP(A25,M_Nodes!A:A,M_Nodes!G:G,0)</f>
        <v>1064.7</v>
      </c>
      <c r="H25" s="66" t="str" cm="1">
        <f t="array" ref="H25">IF(SUM(B25:G25)=0,"",TRIM(_xlfn.TEXTJOIN(CHAR(9),TRUE,"mass",A25, TEXT(ROUND(B25:G25,1),"0.0"))))</f>
        <v>mass	17	2520.0	2520.0	2520.0	403.2	1467.9	1064.7</v>
      </c>
      <c r="M25" s="25"/>
    </row>
    <row r="26" spans="1:13" x14ac:dyDescent="0.3">
      <c r="A26" s="66">
        <v>18</v>
      </c>
      <c r="B26" s="65">
        <f>_xlfn.XLOOKUP(A26,M_Nodes!A:A,M_Nodes!B:B,0)+_xlfn.XLOOKUP(A26,M_Roof!A:A,M_Roof!E:E,0)+_xlfn.XLOOKUP('TCL_Nodal masses'!A26,'M_Filling material'!D:D,'M_Filling material'!R:R,0)+_xlfn.XLOOKUP('TCL_Nodal masses'!A26,'M_Filling material'!E:E,'M_Filling material'!R:R,0)+_xlfn.XLOOKUP('TCL_Nodal masses'!A26,'M_Filling material'!F:F,'M_Filling material'!R:R,0)+_xlfn.XLOOKUP('TCL_Nodal masses'!A26,'M_Filling material'!G:G,'M_Filling material'!R:R,0)+_xlfn.XLOOKUP(A26,M_Floor!C:C,M_Floor!S:S,0)+_xlfn.XLOOKUP(A26,M_Floor!D:D,M_Floor!S:S,0)+_xlfn.XLOOKUP(A26,M_Floor!E:E,M_Floor!S:S,0)+_xlfn.XLOOKUP(A26,M_Floor!F:F,M_Floor!S:S,0)</f>
        <v>2096.6</v>
      </c>
      <c r="C26" s="65">
        <f t="shared" si="0"/>
        <v>2096.6</v>
      </c>
      <c r="D26" s="65">
        <f t="shared" si="1"/>
        <v>2096.6</v>
      </c>
      <c r="E26" s="65">
        <f>_xlfn.XLOOKUP(A26,M_Nodes!A:A,M_Nodes!E:E,0)</f>
        <v>335.5</v>
      </c>
      <c r="F26" s="65">
        <f>_xlfn.XLOOKUP(A26,M_Nodes!A:A,M_Nodes!F:F,0)</f>
        <v>2603.1999999999998</v>
      </c>
      <c r="G26" s="65">
        <f>_xlfn.XLOOKUP(A26,M_Nodes!A:A,M_Nodes!G:G,0)</f>
        <v>2267.6999999999998</v>
      </c>
      <c r="H26" s="66" t="str" cm="1">
        <f t="array" ref="H26">IF(SUM(B26:G26)=0,"",TRIM(_xlfn.TEXTJOIN(CHAR(9),TRUE,"mass",A26, TEXT(ROUND(B26:G26,1),"0.0"))))</f>
        <v>mass	18	2096.6	2096.6	2096.6	335.5	2603.2	2267.7</v>
      </c>
      <c r="M26" s="25"/>
    </row>
    <row r="27" spans="1:13" x14ac:dyDescent="0.3">
      <c r="A27" s="66">
        <v>19</v>
      </c>
      <c r="B27" s="65">
        <f ca="1">_xlfn.XLOOKUP(A27,M_Nodes!A:A,M_Nodes!B:B,0)+_xlfn.XLOOKUP(A27,M_Roof!A:A,M_Roof!E:E,0)+_xlfn.XLOOKUP('TCL_Nodal masses'!A27,'M_Filling material'!D:D,'M_Filling material'!R:R,0)+_xlfn.XLOOKUP('TCL_Nodal masses'!A27,'M_Filling material'!E:E,'M_Filling material'!R:R,0)+_xlfn.XLOOKUP('TCL_Nodal masses'!A27,'M_Filling material'!F:F,'M_Filling material'!R:R,0)+_xlfn.XLOOKUP('TCL_Nodal masses'!A27,'M_Filling material'!G:G,'M_Filling material'!R:R,0)+_xlfn.XLOOKUP(A27,M_Floor!C:C,M_Floor!S:S,0)+_xlfn.XLOOKUP(A27,M_Floor!D:D,M_Floor!S:S,0)+_xlfn.XLOOKUP(A27,M_Floor!E:E,M_Floor!S:S,0)+_xlfn.XLOOKUP(A27,M_Floor!F:F,M_Floor!S:S,0)</f>
        <v>2925.1082568807342</v>
      </c>
      <c r="C27" s="65">
        <f t="shared" ca="1" si="0"/>
        <v>2925.1082568807342</v>
      </c>
      <c r="D27" s="65">
        <f t="shared" ca="1" si="1"/>
        <v>2925.1082568807342</v>
      </c>
      <c r="E27" s="65">
        <f>_xlfn.XLOOKUP(A27,M_Nodes!A:A,M_Nodes!E:E,0)</f>
        <v>378.1</v>
      </c>
      <c r="F27" s="65">
        <f>_xlfn.XLOOKUP(A27,M_Nodes!A:A,M_Nodes!F:F,0)</f>
        <v>155</v>
      </c>
      <c r="G27" s="65">
        <f>_xlfn.XLOOKUP(A27,M_Nodes!A:A,M_Nodes!G:G,0)</f>
        <v>223.2</v>
      </c>
      <c r="H27" s="66" t="str" cm="1">
        <f t="array" aca="1" ref="H27" ca="1">IF(SUM(B27:G27)=0,"",TRIM(_xlfn.TEXTJOIN(CHAR(9),TRUE,"mass",A27, TEXT(ROUND(B27:G27,1),"0.0"))))</f>
        <v>mass	19	2925.1	2925.1	2925.1	378.1	155.0	223.2</v>
      </c>
      <c r="M27" s="25"/>
    </row>
    <row r="28" spans="1:13" x14ac:dyDescent="0.3">
      <c r="A28" s="66">
        <v>20</v>
      </c>
      <c r="B28" s="65">
        <f ca="1">_xlfn.XLOOKUP(A28,M_Nodes!A:A,M_Nodes!B:B,0)+_xlfn.XLOOKUP(A28,M_Roof!A:A,M_Roof!E:E,0)+_xlfn.XLOOKUP('TCL_Nodal masses'!A28,'M_Filling material'!D:D,'M_Filling material'!R:R,0)+_xlfn.XLOOKUP('TCL_Nodal masses'!A28,'M_Filling material'!E:E,'M_Filling material'!R:R,0)+_xlfn.XLOOKUP('TCL_Nodal masses'!A28,'M_Filling material'!F:F,'M_Filling material'!R:R,0)+_xlfn.XLOOKUP('TCL_Nodal masses'!A28,'M_Filling material'!G:G,'M_Filling material'!R:R,0)+_xlfn.XLOOKUP(A28,M_Floor!C:C,M_Floor!S:S,0)+_xlfn.XLOOKUP(A28,M_Floor!D:D,M_Floor!S:S,0)+_xlfn.XLOOKUP(A28,M_Floor!E:E,M_Floor!S:S,0)+_xlfn.XLOOKUP(A28,M_Floor!F:F,M_Floor!S:S,0)</f>
        <v>5329.9443425076461</v>
      </c>
      <c r="C28" s="65">
        <f t="shared" ca="1" si="0"/>
        <v>5329.9443425076461</v>
      </c>
      <c r="D28" s="65">
        <f t="shared" ca="1" si="1"/>
        <v>5329.9443425076461</v>
      </c>
      <c r="E28" s="65">
        <f>_xlfn.XLOOKUP(A28,M_Nodes!A:A,M_Nodes!E:E,0)</f>
        <v>306.10000000000002</v>
      </c>
      <c r="F28" s="65">
        <f>_xlfn.XLOOKUP(A28,M_Nodes!A:A,M_Nodes!F:F,0)</f>
        <v>299.10000000000002</v>
      </c>
      <c r="G28" s="65">
        <f>_xlfn.XLOOKUP(A28,M_Nodes!A:A,M_Nodes!G:G,0)</f>
        <v>7.1</v>
      </c>
      <c r="H28" s="66" t="str" cm="1">
        <f t="array" aca="1" ref="H28" ca="1">IF(SUM(B28:G28)=0,"",TRIM(_xlfn.TEXTJOIN(CHAR(9),TRUE,"mass",A28, TEXT(ROUND(B28:G28,1),"0.0"))))</f>
        <v>mass	20	5329.9	5329.9	5329.9	306.1	299.1	7.1</v>
      </c>
      <c r="M28" s="25"/>
    </row>
    <row r="29" spans="1:13" x14ac:dyDescent="0.3">
      <c r="A29" s="66">
        <v>21</v>
      </c>
      <c r="B29" s="65">
        <f ca="1">_xlfn.XLOOKUP(A29,M_Nodes!A:A,M_Nodes!B:B,0)+_xlfn.XLOOKUP(A29,M_Roof!A:A,M_Roof!E:E,0)+_xlfn.XLOOKUP('TCL_Nodal masses'!A29,'M_Filling material'!D:D,'M_Filling material'!R:R,0)+_xlfn.XLOOKUP('TCL_Nodal masses'!A29,'M_Filling material'!E:E,'M_Filling material'!R:R,0)+_xlfn.XLOOKUP('TCL_Nodal masses'!A29,'M_Filling material'!F:F,'M_Filling material'!R:R,0)+_xlfn.XLOOKUP('TCL_Nodal masses'!A29,'M_Filling material'!G:G,'M_Filling material'!R:R,0)+_xlfn.XLOOKUP(A29,M_Floor!C:C,M_Floor!S:S,0)+_xlfn.XLOOKUP(A29,M_Floor!D:D,M_Floor!S:S,0)+_xlfn.XLOOKUP(A29,M_Floor!E:E,M_Floor!S:S,0)+_xlfn.XLOOKUP(A29,M_Floor!F:F,M_Floor!S:S,0)</f>
        <v>2182.160244648318</v>
      </c>
      <c r="C29" s="65">
        <f t="shared" ca="1" si="0"/>
        <v>2182.160244648318</v>
      </c>
      <c r="D29" s="65">
        <f t="shared" ca="1" si="1"/>
        <v>2182.160244648318</v>
      </c>
      <c r="E29" s="65">
        <f>_xlfn.XLOOKUP(A29,M_Nodes!A:A,M_Nodes!E:E,0)</f>
        <v>2061.6999999999998</v>
      </c>
      <c r="F29" s="65">
        <f>_xlfn.XLOOKUP(A29,M_Nodes!A:A,M_Nodes!F:F,0)</f>
        <v>155</v>
      </c>
      <c r="G29" s="65">
        <f>_xlfn.XLOOKUP(A29,M_Nodes!A:A,M_Nodes!G:G,0)</f>
        <v>1906.7</v>
      </c>
      <c r="H29" s="66" t="str" cm="1">
        <f t="array" aca="1" ref="H29" ca="1">IF(SUM(B29:G29)=0,"",TRIM(_xlfn.TEXTJOIN(CHAR(9),TRUE,"mass",A29, TEXT(ROUND(B29:G29,1),"0.0"))))</f>
        <v>mass	21	2182.2	2182.2	2182.2	2061.7	155.0	1906.7</v>
      </c>
      <c r="M29" s="25"/>
    </row>
    <row r="30" spans="1:13" x14ac:dyDescent="0.3">
      <c r="A30" s="66">
        <v>22</v>
      </c>
      <c r="B30" s="65">
        <f ca="1">_xlfn.XLOOKUP(A30,M_Nodes!A:A,M_Nodes!B:B,0)+_xlfn.XLOOKUP(A30,M_Roof!A:A,M_Roof!E:E,0)+_xlfn.XLOOKUP('TCL_Nodal masses'!A30,'M_Filling material'!D:D,'M_Filling material'!R:R,0)+_xlfn.XLOOKUP('TCL_Nodal masses'!A30,'M_Filling material'!E:E,'M_Filling material'!R:R,0)+_xlfn.XLOOKUP('TCL_Nodal masses'!A30,'M_Filling material'!F:F,'M_Filling material'!R:R,0)+_xlfn.XLOOKUP('TCL_Nodal masses'!A30,'M_Filling material'!G:G,'M_Filling material'!R:R,0)+_xlfn.XLOOKUP(A30,M_Floor!C:C,M_Floor!S:S,0)+_xlfn.XLOOKUP(A30,M_Floor!D:D,M_Floor!S:S,0)+_xlfn.XLOOKUP(A30,M_Floor!E:E,M_Floor!S:S,0)+_xlfn.XLOOKUP(A30,M_Floor!F:F,M_Floor!S:S,0)</f>
        <v>8694.1116469000935</v>
      </c>
      <c r="C30" s="65">
        <f t="shared" ca="1" si="0"/>
        <v>8694.1116469000935</v>
      </c>
      <c r="D30" s="65">
        <f t="shared" ca="1" si="1"/>
        <v>8694.1116469000935</v>
      </c>
      <c r="E30" s="65">
        <f>_xlfn.XLOOKUP(A30,M_Nodes!A:A,M_Nodes!E:E,0)</f>
        <v>869.2</v>
      </c>
      <c r="F30" s="65">
        <f>_xlfn.XLOOKUP(A30,M_Nodes!A:A,M_Nodes!F:F,0)</f>
        <v>288.60000000000002</v>
      </c>
      <c r="G30" s="65">
        <f>_xlfn.XLOOKUP(A30,M_Nodes!A:A,M_Nodes!G:G,0)</f>
        <v>580.5</v>
      </c>
      <c r="H30" s="66" t="str" cm="1">
        <f t="array" aca="1" ref="H30" ca="1">IF(SUM(B30:G30)=0,"",TRIM(_xlfn.TEXTJOIN(CHAR(9),TRUE,"mass",A30, TEXT(ROUND(B30:G30,1),"0.0"))))</f>
        <v>mass	22	8694.1	8694.1	8694.1	869.2	288.6	580.5</v>
      </c>
      <c r="M30" s="25"/>
    </row>
    <row r="31" spans="1:13" x14ac:dyDescent="0.3">
      <c r="A31" s="66">
        <v>23</v>
      </c>
      <c r="B31" s="65">
        <f ca="1">_xlfn.XLOOKUP(A31,M_Nodes!A:A,M_Nodes!B:B,0)+_xlfn.XLOOKUP(A31,M_Roof!A:A,M_Roof!E:E,0)+_xlfn.XLOOKUP('TCL_Nodal masses'!A31,'M_Filling material'!D:D,'M_Filling material'!R:R,0)+_xlfn.XLOOKUP('TCL_Nodal masses'!A31,'M_Filling material'!E:E,'M_Filling material'!R:R,0)+_xlfn.XLOOKUP('TCL_Nodal masses'!A31,'M_Filling material'!F:F,'M_Filling material'!R:R,0)+_xlfn.XLOOKUP('TCL_Nodal masses'!A31,'M_Filling material'!G:G,'M_Filling material'!R:R,0)+_xlfn.XLOOKUP(A31,M_Floor!C:C,M_Floor!S:S,0)+_xlfn.XLOOKUP(A31,M_Floor!D:D,M_Floor!S:S,0)+_xlfn.XLOOKUP(A31,M_Floor!E:E,M_Floor!S:S,0)+_xlfn.XLOOKUP(A31,M_Floor!F:F,M_Floor!S:S,0)</f>
        <v>12243.011646900093</v>
      </c>
      <c r="C31" s="65">
        <f t="shared" ca="1" si="0"/>
        <v>12243.011646900093</v>
      </c>
      <c r="D31" s="65">
        <f t="shared" ca="1" si="1"/>
        <v>12243.011646900093</v>
      </c>
      <c r="E31" s="65">
        <f>_xlfn.XLOOKUP(A31,M_Nodes!A:A,M_Nodes!E:E,0)</f>
        <v>575.4</v>
      </c>
      <c r="F31" s="65">
        <f>_xlfn.XLOOKUP(A31,M_Nodes!A:A,M_Nodes!F:F,0)</f>
        <v>557</v>
      </c>
      <c r="G31" s="65">
        <f>_xlfn.XLOOKUP(A31,M_Nodes!A:A,M_Nodes!G:G,0)</f>
        <v>18.399999999999999</v>
      </c>
      <c r="H31" s="66" t="str" cm="1">
        <f t="array" aca="1" ref="H31" ca="1">IF(SUM(B31:G31)=0,"",TRIM(_xlfn.TEXTJOIN(CHAR(9),TRUE,"mass",A31, TEXT(ROUND(B31:G31,1),"0.0"))))</f>
        <v>mass	23	12243.0	12243.0	12243.0	575.4	557.0	18.4</v>
      </c>
      <c r="M31" s="25"/>
    </row>
    <row r="32" spans="1:13" x14ac:dyDescent="0.3">
      <c r="A32" s="66">
        <v>24</v>
      </c>
      <c r="B32" s="65">
        <f>_xlfn.XLOOKUP(A32,M_Nodes!A:A,M_Nodes!B:B,0)+_xlfn.XLOOKUP(A32,M_Roof!A:A,M_Roof!E:E,0)+_xlfn.XLOOKUP('TCL_Nodal masses'!A32,'M_Filling material'!D:D,'M_Filling material'!R:R,0)+_xlfn.XLOOKUP('TCL_Nodal masses'!A32,'M_Filling material'!E:E,'M_Filling material'!R:R,0)+_xlfn.XLOOKUP('TCL_Nodal masses'!A32,'M_Filling material'!F:F,'M_Filling material'!R:R,0)+_xlfn.XLOOKUP('TCL_Nodal masses'!A32,'M_Filling material'!G:G,'M_Filling material'!R:R,0)+_xlfn.XLOOKUP(A32,M_Floor!C:C,M_Floor!S:S,0)+_xlfn.XLOOKUP(A32,M_Floor!D:D,M_Floor!S:S,0)+_xlfn.XLOOKUP(A32,M_Floor!E:E,M_Floor!S:S,0)+_xlfn.XLOOKUP(A32,M_Floor!F:F,M_Floor!S:S,0)</f>
        <v>3816.7</v>
      </c>
      <c r="C32" s="65">
        <f t="shared" si="0"/>
        <v>3816.7</v>
      </c>
      <c r="D32" s="65">
        <f t="shared" si="1"/>
        <v>3816.7</v>
      </c>
      <c r="E32" s="65">
        <f>_xlfn.XLOOKUP(A32,M_Nodes!A:A,M_Nodes!E:E,0)</f>
        <v>5248.8</v>
      </c>
      <c r="F32" s="65">
        <f>_xlfn.XLOOKUP(A32,M_Nodes!A:A,M_Nodes!F:F,0)</f>
        <v>288.60000000000002</v>
      </c>
      <c r="G32" s="65">
        <f>_xlfn.XLOOKUP(A32,M_Nodes!A:A,M_Nodes!G:G,0)</f>
        <v>4960.2</v>
      </c>
      <c r="H32" s="66" t="str" cm="1">
        <f t="array" ref="H32">IF(SUM(B32:G32)=0,"",TRIM(_xlfn.TEXTJOIN(CHAR(9),TRUE,"mass",A32, TEXT(ROUND(B32:G32,1),"0.0"))))</f>
        <v>mass	24	3816.7	3816.7	3816.7	5248.8	288.6	4960.2</v>
      </c>
      <c r="M32" s="25"/>
    </row>
    <row r="33" spans="1:13" x14ac:dyDescent="0.3">
      <c r="A33" s="66">
        <v>25</v>
      </c>
      <c r="B33" s="65">
        <f>_xlfn.XLOOKUP(A33,M_Nodes!A:A,M_Nodes!B:B,0)+_xlfn.XLOOKUP(A33,M_Roof!A:A,M_Roof!E:E,0)+_xlfn.XLOOKUP('TCL_Nodal masses'!A33,'M_Filling material'!D:D,'M_Filling material'!R:R,0)+_xlfn.XLOOKUP('TCL_Nodal masses'!A33,'M_Filling material'!E:E,'M_Filling material'!R:R,0)+_xlfn.XLOOKUP('TCL_Nodal masses'!A33,'M_Filling material'!F:F,'M_Filling material'!R:R,0)+_xlfn.XLOOKUP('TCL_Nodal masses'!A33,'M_Filling material'!G:G,'M_Filling material'!R:R,0)+_xlfn.XLOOKUP(A33,M_Floor!C:C,M_Floor!S:S,0)+_xlfn.XLOOKUP(A33,M_Floor!D:D,M_Floor!S:S,0)+_xlfn.XLOOKUP(A33,M_Floor!E:E,M_Floor!S:S,0)+_xlfn.XLOOKUP(A33,M_Floor!F:F,M_Floor!S:S,0)</f>
        <v>0</v>
      </c>
      <c r="C33" s="65">
        <f t="shared" si="0"/>
        <v>0</v>
      </c>
      <c r="D33" s="65">
        <f t="shared" si="1"/>
        <v>0</v>
      </c>
      <c r="E33" s="65">
        <f>_xlfn.XLOOKUP(A33,M_Nodes!A:A,M_Nodes!E:E,0)</f>
        <v>0</v>
      </c>
      <c r="F33" s="65">
        <f>_xlfn.XLOOKUP(A33,M_Nodes!A:A,M_Nodes!F:F,0)</f>
        <v>0</v>
      </c>
      <c r="G33" s="65">
        <f>_xlfn.XLOOKUP(A33,M_Nodes!A:A,M_Nodes!G:G,0)</f>
        <v>0</v>
      </c>
      <c r="H33" s="66" t="str" cm="1">
        <f t="array" ref="H33">IF(SUM(B33:G33)=0,"",TRIM(_xlfn.TEXTJOIN(CHAR(9),TRUE,"mass",A33, TEXT(ROUND(B33:G33,1),"0.0"))))</f>
        <v/>
      </c>
      <c r="M33" s="25"/>
    </row>
    <row r="34" spans="1:13" x14ac:dyDescent="0.3">
      <c r="A34" s="66">
        <v>26</v>
      </c>
      <c r="B34" s="65">
        <f>_xlfn.XLOOKUP(A34,M_Nodes!A:A,M_Nodes!B:B,0)+_xlfn.XLOOKUP(A34,M_Roof!A:A,M_Roof!E:E,0)+_xlfn.XLOOKUP('TCL_Nodal masses'!A34,'M_Filling material'!D:D,'M_Filling material'!R:R,0)+_xlfn.XLOOKUP('TCL_Nodal masses'!A34,'M_Filling material'!E:E,'M_Filling material'!R:R,0)+_xlfn.XLOOKUP('TCL_Nodal masses'!A34,'M_Filling material'!F:F,'M_Filling material'!R:R,0)+_xlfn.XLOOKUP('TCL_Nodal masses'!A34,'M_Filling material'!G:G,'M_Filling material'!R:R,0)+_xlfn.XLOOKUP(A34,M_Floor!C:C,M_Floor!S:S,0)+_xlfn.XLOOKUP(A34,M_Floor!D:D,M_Floor!S:S,0)+_xlfn.XLOOKUP(A34,M_Floor!E:E,M_Floor!S:S,0)+_xlfn.XLOOKUP(A34,M_Floor!F:F,M_Floor!S:S,0)</f>
        <v>0</v>
      </c>
      <c r="C34" s="65">
        <f t="shared" si="0"/>
        <v>0</v>
      </c>
      <c r="D34" s="65">
        <f t="shared" si="1"/>
        <v>0</v>
      </c>
      <c r="E34" s="65">
        <f>_xlfn.XLOOKUP(A34,M_Nodes!A:A,M_Nodes!E:E,0)</f>
        <v>0</v>
      </c>
      <c r="F34" s="65">
        <f>_xlfn.XLOOKUP(A34,M_Nodes!A:A,M_Nodes!F:F,0)</f>
        <v>0</v>
      </c>
      <c r="G34" s="65">
        <f>_xlfn.XLOOKUP(A34,M_Nodes!A:A,M_Nodes!G:G,0)</f>
        <v>0</v>
      </c>
      <c r="H34" s="66" t="str" cm="1">
        <f t="array" ref="H34">IF(SUM(B34:G34)=0,"",TRIM(_xlfn.TEXTJOIN(CHAR(9),TRUE,"mass",A34, TEXT(ROUND(B34:G34,1),"0.0"))))</f>
        <v/>
      </c>
      <c r="M34" s="25"/>
    </row>
    <row r="35" spans="1:13" x14ac:dyDescent="0.3">
      <c r="A35" s="66">
        <v>27</v>
      </c>
      <c r="B35" s="65">
        <f>_xlfn.XLOOKUP(A35,M_Nodes!A:A,M_Nodes!B:B,0)+_xlfn.XLOOKUP(A35,M_Roof!A:A,M_Roof!E:E,0)+_xlfn.XLOOKUP('TCL_Nodal masses'!A35,'M_Filling material'!D:D,'M_Filling material'!R:R,0)+_xlfn.XLOOKUP('TCL_Nodal masses'!A35,'M_Filling material'!E:E,'M_Filling material'!R:R,0)+_xlfn.XLOOKUP('TCL_Nodal masses'!A35,'M_Filling material'!F:F,'M_Filling material'!R:R,0)+_xlfn.XLOOKUP('TCL_Nodal masses'!A35,'M_Filling material'!G:G,'M_Filling material'!R:R,0)+_xlfn.XLOOKUP(A35,M_Floor!C:C,M_Floor!S:S,0)+_xlfn.XLOOKUP(A35,M_Floor!D:D,M_Floor!S:S,0)+_xlfn.XLOOKUP(A35,M_Floor!E:E,M_Floor!S:S,0)+_xlfn.XLOOKUP(A35,M_Floor!F:F,M_Floor!S:S,0)</f>
        <v>2298.1999999999998</v>
      </c>
      <c r="C35" s="65">
        <f t="shared" si="0"/>
        <v>2298.1999999999998</v>
      </c>
      <c r="D35" s="65">
        <f t="shared" si="1"/>
        <v>2298.1999999999998</v>
      </c>
      <c r="E35" s="65">
        <f>_xlfn.XLOOKUP(A35,M_Nodes!A:A,M_Nodes!E:E,0)</f>
        <v>3354.5</v>
      </c>
      <c r="F35" s="65">
        <f>_xlfn.XLOOKUP(A35,M_Nodes!A:A,M_Nodes!F:F,0)</f>
        <v>367.7</v>
      </c>
      <c r="G35" s="65">
        <f>_xlfn.XLOOKUP(A35,M_Nodes!A:A,M_Nodes!G:G,0)</f>
        <v>2986.8</v>
      </c>
      <c r="H35" s="66" t="str" cm="1">
        <f t="array" ref="H35">IF(SUM(B35:G35)=0,"",TRIM(_xlfn.TEXTJOIN(CHAR(9),TRUE,"mass",A35, TEXT(ROUND(B35:G35,1),"0.0"))))</f>
        <v>mass	27	2298.2	2298.2	2298.2	3354.5	367.7	2986.8</v>
      </c>
      <c r="M35" s="25"/>
    </row>
    <row r="36" spans="1:13" x14ac:dyDescent="0.3">
      <c r="A36" s="66">
        <v>28</v>
      </c>
      <c r="B36" s="65">
        <f ca="1">_xlfn.XLOOKUP(A36,M_Nodes!A:A,M_Nodes!B:B,0)+_xlfn.XLOOKUP(A36,M_Roof!A:A,M_Roof!E:E,0)+_xlfn.XLOOKUP('TCL_Nodal masses'!A36,'M_Filling material'!D:D,'M_Filling material'!R:R,0)+_xlfn.XLOOKUP('TCL_Nodal masses'!A36,'M_Filling material'!E:E,'M_Filling material'!R:R,0)+_xlfn.XLOOKUP('TCL_Nodal masses'!A36,'M_Filling material'!F:F,'M_Filling material'!R:R,0)+_xlfn.XLOOKUP('TCL_Nodal masses'!A36,'M_Filling material'!G:G,'M_Filling material'!R:R,0)+_xlfn.XLOOKUP(A36,M_Floor!C:C,M_Floor!S:S,0)+_xlfn.XLOOKUP(A36,M_Floor!D:D,M_Floor!S:S,0)+_xlfn.XLOOKUP(A36,M_Floor!E:E,M_Floor!S:S,0)+_xlfn.XLOOKUP(A36,M_Floor!F:F,M_Floor!S:S,0)</f>
        <v>7376.3182466870512</v>
      </c>
      <c r="C36" s="65">
        <f t="shared" ca="1" si="0"/>
        <v>7376.3182466870512</v>
      </c>
      <c r="D36" s="65">
        <f t="shared" ca="1" si="1"/>
        <v>7376.3182466870512</v>
      </c>
      <c r="E36" s="65">
        <f>_xlfn.XLOOKUP(A36,M_Nodes!A:A,M_Nodes!E:E,0)</f>
        <v>183.5</v>
      </c>
      <c r="F36" s="65">
        <f>_xlfn.XLOOKUP(A36,M_Nodes!A:A,M_Nodes!F:F,0)</f>
        <v>709.1</v>
      </c>
      <c r="G36" s="65">
        <f>_xlfn.XLOOKUP(A36,M_Nodes!A:A,M_Nodes!G:G,0)</f>
        <v>525.6</v>
      </c>
      <c r="H36" s="66" t="str" cm="1">
        <f t="array" aca="1" ref="H36" ca="1">IF(SUM(B36:G36)=0,"",TRIM(_xlfn.TEXTJOIN(CHAR(9),TRUE,"mass",A36, TEXT(ROUND(B36:G36,1),"0.0"))))</f>
        <v>mass	28	7376.3	7376.3	7376.3	183.5	709.1	525.6</v>
      </c>
      <c r="M36" s="25"/>
    </row>
    <row r="37" spans="1:13" x14ac:dyDescent="0.3">
      <c r="A37" s="66">
        <v>29</v>
      </c>
      <c r="B37" s="65">
        <f ca="1">_xlfn.XLOOKUP(A37,M_Nodes!A:A,M_Nodes!B:B,0)+_xlfn.XLOOKUP(A37,M_Roof!A:A,M_Roof!E:E,0)+_xlfn.XLOOKUP('TCL_Nodal masses'!A37,'M_Filling material'!D:D,'M_Filling material'!R:R,0)+_xlfn.XLOOKUP('TCL_Nodal masses'!A37,'M_Filling material'!E:E,'M_Filling material'!R:R,0)+_xlfn.XLOOKUP('TCL_Nodal masses'!A37,'M_Filling material'!F:F,'M_Filling material'!R:R,0)+_xlfn.XLOOKUP('TCL_Nodal masses'!A37,'M_Filling material'!G:G,'M_Filling material'!R:R,0)+_xlfn.XLOOKUP(A37,M_Floor!C:C,M_Floor!S:S,0)+_xlfn.XLOOKUP(A37,M_Floor!D:D,M_Floor!S:S,0)+_xlfn.XLOOKUP(A37,M_Floor!E:E,M_Floor!S:S,0)+_xlfn.XLOOKUP(A37,M_Floor!F:F,M_Floor!S:S,0)</f>
        <v>6801.0130479102954</v>
      </c>
      <c r="C37" s="65">
        <f t="shared" ca="1" si="0"/>
        <v>6801.0130479102954</v>
      </c>
      <c r="D37" s="65">
        <f t="shared" ca="1" si="1"/>
        <v>6801.0130479102954</v>
      </c>
      <c r="E37" s="65">
        <f>_xlfn.XLOOKUP(A37,M_Nodes!A:A,M_Nodes!E:E,0)</f>
        <v>190.3</v>
      </c>
      <c r="F37" s="65">
        <f>_xlfn.XLOOKUP(A37,M_Nodes!A:A,M_Nodes!F:F,0)</f>
        <v>1649.8</v>
      </c>
      <c r="G37" s="65">
        <f>_xlfn.XLOOKUP(A37,M_Nodes!A:A,M_Nodes!G:G,0)</f>
        <v>1459.5</v>
      </c>
      <c r="H37" s="66" t="str" cm="1">
        <f t="array" aca="1" ref="H37" ca="1">IF(SUM(B37:G37)=0,"",TRIM(_xlfn.TEXTJOIN(CHAR(9),TRUE,"mass",A37, TEXT(ROUND(B37:G37,1),"0.0"))))</f>
        <v>mass	29	6801.0	6801.0	6801.0	190.3	1649.8	1459.5</v>
      </c>
      <c r="M37" s="25"/>
    </row>
    <row r="38" spans="1:13" x14ac:dyDescent="0.3">
      <c r="A38" s="66">
        <v>30</v>
      </c>
      <c r="B38" s="65">
        <f ca="1">_xlfn.XLOOKUP(A38,M_Nodes!A:A,M_Nodes!B:B,0)+_xlfn.XLOOKUP(A38,M_Roof!A:A,M_Roof!E:E,0)+_xlfn.XLOOKUP('TCL_Nodal masses'!A38,'M_Filling material'!D:D,'M_Filling material'!R:R,0)+_xlfn.XLOOKUP('TCL_Nodal masses'!A38,'M_Filling material'!E:E,'M_Filling material'!R:R,0)+_xlfn.XLOOKUP('TCL_Nodal masses'!A38,'M_Filling material'!F:F,'M_Filling material'!R:R,0)+_xlfn.XLOOKUP('TCL_Nodal masses'!A38,'M_Filling material'!G:G,'M_Filling material'!R:R,0)+_xlfn.XLOOKUP(A38,M_Floor!C:C,M_Floor!S:S,0)+_xlfn.XLOOKUP(A38,M_Floor!D:D,M_Floor!S:S,0)+_xlfn.XLOOKUP(A38,M_Floor!E:E,M_Floor!S:S,0)+_xlfn.XLOOKUP(A38,M_Floor!F:F,M_Floor!S:S,0)</f>
        <v>8706.9911314984711</v>
      </c>
      <c r="C38" s="65">
        <f t="shared" ca="1" si="0"/>
        <v>8706.9911314984711</v>
      </c>
      <c r="D38" s="65">
        <f t="shared" ca="1" si="1"/>
        <v>8706.9911314984711</v>
      </c>
      <c r="E38" s="65">
        <f>_xlfn.XLOOKUP(A38,M_Nodes!A:A,M_Nodes!E:E,0)</f>
        <v>183.5</v>
      </c>
      <c r="F38" s="65">
        <f>_xlfn.XLOOKUP(A38,M_Nodes!A:A,M_Nodes!F:F,0)</f>
        <v>709.1</v>
      </c>
      <c r="G38" s="65">
        <f>_xlfn.XLOOKUP(A38,M_Nodes!A:A,M_Nodes!G:G,0)</f>
        <v>525.6</v>
      </c>
      <c r="H38" s="66" t="str" cm="1">
        <f t="array" aca="1" ref="H38" ca="1">IF(SUM(B38:G38)=0,"",TRIM(_xlfn.TEXTJOIN(CHAR(9),TRUE,"mass",A38, TEXT(ROUND(B38:G38,1),"0.0"))))</f>
        <v>mass	30	8707.0	8707.0	8707.0	183.5	709.1	525.6</v>
      </c>
      <c r="M38" s="25"/>
    </row>
    <row r="39" spans="1:13" x14ac:dyDescent="0.3">
      <c r="A39" s="66">
        <v>31</v>
      </c>
      <c r="B39" s="65">
        <f ca="1">_xlfn.XLOOKUP(A39,M_Nodes!A:A,M_Nodes!B:B,0)+_xlfn.XLOOKUP(A39,M_Roof!A:A,M_Roof!E:E,0)+_xlfn.XLOOKUP('TCL_Nodal masses'!A39,'M_Filling material'!D:D,'M_Filling material'!R:R,0)+_xlfn.XLOOKUP('TCL_Nodal masses'!A39,'M_Filling material'!E:E,'M_Filling material'!R:R,0)+_xlfn.XLOOKUP('TCL_Nodal masses'!A39,'M_Filling material'!F:F,'M_Filling material'!R:R,0)+_xlfn.XLOOKUP('TCL_Nodal masses'!A39,'M_Filling material'!G:G,'M_Filling material'!R:R,0)+_xlfn.XLOOKUP(A39,M_Floor!C:C,M_Floor!S:S,0)+_xlfn.XLOOKUP(A39,M_Floor!D:D,M_Floor!S:S,0)+_xlfn.XLOOKUP(A39,M_Floor!E:E,M_Floor!S:S,0)+_xlfn.XLOOKUP(A39,M_Floor!F:F,M_Floor!S:S,0)</f>
        <v>4437.0482161060136</v>
      </c>
      <c r="C39" s="65">
        <f t="shared" ca="1" si="0"/>
        <v>4437.0482161060136</v>
      </c>
      <c r="D39" s="65">
        <f t="shared" ca="1" si="1"/>
        <v>4437.0482161060136</v>
      </c>
      <c r="E39" s="65">
        <f>_xlfn.XLOOKUP(A39,M_Nodes!A:A,M_Nodes!E:E,0)</f>
        <v>141.4</v>
      </c>
      <c r="F39" s="65">
        <f>_xlfn.XLOOKUP(A39,M_Nodes!A:A,M_Nodes!F:F,0)</f>
        <v>1589.1</v>
      </c>
      <c r="G39" s="65">
        <f>_xlfn.XLOOKUP(A39,M_Nodes!A:A,M_Nodes!G:G,0)</f>
        <v>1447.7</v>
      </c>
      <c r="H39" s="66" t="str" cm="1">
        <f t="array" aca="1" ref="H39" ca="1">IF(SUM(B39:G39)=0,"",TRIM(_xlfn.TEXTJOIN(CHAR(9),TRUE,"mass",A39, TEXT(ROUND(B39:G39,1),"0.0"))))</f>
        <v>mass	31	4437.0	4437.0	4437.0	141.4	1589.1	1447.7</v>
      </c>
      <c r="M39" s="25"/>
    </row>
    <row r="40" spans="1:13" x14ac:dyDescent="0.3">
      <c r="A40" s="66">
        <v>32</v>
      </c>
      <c r="B40" s="65">
        <f ca="1">_xlfn.XLOOKUP(A40,M_Nodes!A:A,M_Nodes!B:B,0)+_xlfn.XLOOKUP(A40,M_Roof!A:A,M_Roof!E:E,0)+_xlfn.XLOOKUP('TCL_Nodal masses'!A40,'M_Filling material'!D:D,'M_Filling material'!R:R,0)+_xlfn.XLOOKUP('TCL_Nodal masses'!A40,'M_Filling material'!E:E,'M_Filling material'!R:R,0)+_xlfn.XLOOKUP('TCL_Nodal masses'!A40,'M_Filling material'!F:F,'M_Filling material'!R:R,0)+_xlfn.XLOOKUP('TCL_Nodal masses'!A40,'M_Filling material'!G:G,'M_Filling material'!R:R,0)+_xlfn.XLOOKUP(A40,M_Floor!C:C,M_Floor!S:S,0)+_xlfn.XLOOKUP(A40,M_Floor!D:D,M_Floor!S:S,0)+_xlfn.XLOOKUP(A40,M_Floor!E:E,M_Floor!S:S,0)+_xlfn.XLOOKUP(A40,M_Floor!F:F,M_Floor!S:S,0)</f>
        <v>14202.160689153883</v>
      </c>
      <c r="C40" s="65">
        <f t="shared" ca="1" si="0"/>
        <v>14202.160689153883</v>
      </c>
      <c r="D40" s="65">
        <f t="shared" ca="1" si="1"/>
        <v>14202.160689153883</v>
      </c>
      <c r="E40" s="65">
        <f>_xlfn.XLOOKUP(A40,M_Nodes!A:A,M_Nodes!E:E,0)</f>
        <v>341.8</v>
      </c>
      <c r="F40" s="65">
        <f>_xlfn.XLOOKUP(A40,M_Nodes!A:A,M_Nodes!F:F,0)</f>
        <v>1709</v>
      </c>
      <c r="G40" s="65">
        <f>_xlfn.XLOOKUP(A40,M_Nodes!A:A,M_Nodes!G:G,0)</f>
        <v>1367.2</v>
      </c>
      <c r="H40" s="66" t="str" cm="1">
        <f t="array" aca="1" ref="H40" ca="1">IF(SUM(B40:G40)=0,"",TRIM(_xlfn.TEXTJOIN(CHAR(9),TRUE,"mass",A40, TEXT(ROUND(B40:G40,1),"0.0"))))</f>
        <v>mass	32	14202.2	14202.2	14202.2	341.8	1709.0	1367.2</v>
      </c>
      <c r="M40" s="25"/>
    </row>
    <row r="41" spans="1:13" x14ac:dyDescent="0.3">
      <c r="A41" s="66">
        <v>33</v>
      </c>
      <c r="B41" s="65">
        <f ca="1">_xlfn.XLOOKUP(A41,M_Nodes!A:A,M_Nodes!B:B,0)+_xlfn.XLOOKUP(A41,M_Roof!A:A,M_Roof!E:E,0)+_xlfn.XLOOKUP('TCL_Nodal masses'!A41,'M_Filling material'!D:D,'M_Filling material'!R:R,0)+_xlfn.XLOOKUP('TCL_Nodal masses'!A41,'M_Filling material'!E:E,'M_Filling material'!R:R,0)+_xlfn.XLOOKUP('TCL_Nodal masses'!A41,'M_Filling material'!F:F,'M_Filling material'!R:R,0)+_xlfn.XLOOKUP('TCL_Nodal masses'!A41,'M_Filling material'!G:G,'M_Filling material'!R:R,0)+_xlfn.XLOOKUP(A41,M_Floor!C:C,M_Floor!S:S,0)+_xlfn.XLOOKUP(A41,M_Floor!D:D,M_Floor!S:S,0)+_xlfn.XLOOKUP(A41,M_Floor!E:E,M_Floor!S:S,0)+_xlfn.XLOOKUP(A41,M_Floor!F:F,M_Floor!S:S,0)</f>
        <v>13271.300741361985</v>
      </c>
      <c r="C41" s="65">
        <f t="shared" ca="1" si="0"/>
        <v>13271.300741361985</v>
      </c>
      <c r="D41" s="65">
        <f t="shared" ca="1" si="1"/>
        <v>13271.300741361985</v>
      </c>
      <c r="E41" s="65">
        <f>_xlfn.XLOOKUP(A41,M_Nodes!A:A,M_Nodes!E:E,0)</f>
        <v>354.5</v>
      </c>
      <c r="F41" s="65">
        <f>_xlfn.XLOOKUP(A41,M_Nodes!A:A,M_Nodes!F:F,0)</f>
        <v>4151.1000000000004</v>
      </c>
      <c r="G41" s="65">
        <f>_xlfn.XLOOKUP(A41,M_Nodes!A:A,M_Nodes!G:G,0)</f>
        <v>3796.6</v>
      </c>
      <c r="H41" s="66" t="str" cm="1">
        <f t="array" aca="1" ref="H41" ca="1">IF(SUM(B41:G41)=0,"",TRIM(_xlfn.TEXTJOIN(CHAR(9),TRUE,"mass",A41, TEXT(ROUND(B41:G41,1),"0.0"))))</f>
        <v>mass	33	13271.3	13271.3	13271.3	354.5	4151.1	3796.6</v>
      </c>
      <c r="M41" s="25"/>
    </row>
    <row r="42" spans="1:13" x14ac:dyDescent="0.3">
      <c r="A42" s="66">
        <v>34</v>
      </c>
      <c r="B42" s="65">
        <f ca="1">_xlfn.XLOOKUP(A42,M_Nodes!A:A,M_Nodes!B:B,0)+_xlfn.XLOOKUP(A42,M_Roof!A:A,M_Roof!E:E,0)+_xlfn.XLOOKUP('TCL_Nodal masses'!A42,'M_Filling material'!D:D,'M_Filling material'!R:R,0)+_xlfn.XLOOKUP('TCL_Nodal masses'!A42,'M_Filling material'!E:E,'M_Filling material'!R:R,0)+_xlfn.XLOOKUP('TCL_Nodal masses'!A42,'M_Filling material'!F:F,'M_Filling material'!R:R,0)+_xlfn.XLOOKUP('TCL_Nodal masses'!A42,'M_Filling material'!G:G,'M_Filling material'!R:R,0)+_xlfn.XLOOKUP(A42,M_Floor!C:C,M_Floor!S:S,0)+_xlfn.XLOOKUP(A42,M_Floor!D:D,M_Floor!S:S,0)+_xlfn.XLOOKUP(A42,M_Floor!E:E,M_Floor!S:S,0)+_xlfn.XLOOKUP(A42,M_Floor!F:F,M_Floor!S:S,0)</f>
        <v>16487.046327663473</v>
      </c>
      <c r="C42" s="65">
        <f t="shared" ca="1" si="0"/>
        <v>16487.046327663473</v>
      </c>
      <c r="D42" s="65">
        <f t="shared" ca="1" si="1"/>
        <v>16487.046327663473</v>
      </c>
      <c r="E42" s="65">
        <f>_xlfn.XLOOKUP(A42,M_Nodes!A:A,M_Nodes!E:E,0)</f>
        <v>341.8</v>
      </c>
      <c r="F42" s="65">
        <f>_xlfn.XLOOKUP(A42,M_Nodes!A:A,M_Nodes!F:F,0)</f>
        <v>1709</v>
      </c>
      <c r="G42" s="65">
        <f>_xlfn.XLOOKUP(A42,M_Nodes!A:A,M_Nodes!G:G,0)</f>
        <v>1367.2</v>
      </c>
      <c r="H42" s="66" t="str" cm="1">
        <f t="array" aca="1" ref="H42" ca="1">IF(SUM(B42:G42)=0,"",TRIM(_xlfn.TEXTJOIN(CHAR(9),TRUE,"mass",A42, TEXT(ROUND(B42:G42,1),"0.0"))))</f>
        <v>mass	34	16487.0	16487.0	16487.0	341.8	1709.0	1367.2</v>
      </c>
      <c r="M42" s="25"/>
    </row>
    <row r="43" spans="1:13" x14ac:dyDescent="0.3">
      <c r="A43" s="66">
        <v>35</v>
      </c>
      <c r="B43" s="65">
        <f ca="1">_xlfn.XLOOKUP(A43,M_Nodes!A:A,M_Nodes!B:B,0)+_xlfn.XLOOKUP(A43,M_Roof!A:A,M_Roof!E:E,0)+_xlfn.XLOOKUP('TCL_Nodal masses'!A43,'M_Filling material'!D:D,'M_Filling material'!R:R,0)+_xlfn.XLOOKUP('TCL_Nodal masses'!A43,'M_Filling material'!E:E,'M_Filling material'!R:R,0)+_xlfn.XLOOKUP('TCL_Nodal masses'!A43,'M_Filling material'!F:F,'M_Filling material'!R:R,0)+_xlfn.XLOOKUP('TCL_Nodal masses'!A43,'M_Filling material'!G:G,'M_Filling material'!R:R,0)+_xlfn.XLOOKUP(A43,M_Floor!C:C,M_Floor!S:S,0)+_xlfn.XLOOKUP(A43,M_Floor!D:D,M_Floor!S:S,0)+_xlfn.XLOOKUP(A43,M_Floor!E:E,M_Floor!S:S,0)+_xlfn.XLOOKUP(A43,M_Floor!F:F,M_Floor!S:S,0)</f>
        <v>10020.964976508099</v>
      </c>
      <c r="C43" s="65">
        <f t="shared" ca="1" si="0"/>
        <v>10020.964976508099</v>
      </c>
      <c r="D43" s="65">
        <f t="shared" ca="1" si="1"/>
        <v>10020.964976508099</v>
      </c>
      <c r="E43" s="65">
        <f>_xlfn.XLOOKUP(A43,M_Nodes!A:A,M_Nodes!E:E,0)</f>
        <v>263.3</v>
      </c>
      <c r="F43" s="65">
        <f>_xlfn.XLOOKUP(A43,M_Nodes!A:A,M_Nodes!F:F,0)</f>
        <v>4029.4</v>
      </c>
      <c r="G43" s="65">
        <f>_xlfn.XLOOKUP(A43,M_Nodes!A:A,M_Nodes!G:G,0)</f>
        <v>3766</v>
      </c>
      <c r="H43" s="66" t="str" cm="1">
        <f t="array" aca="1" ref="H43" ca="1">IF(SUM(B43:G43)=0,"",TRIM(_xlfn.TEXTJOIN(CHAR(9),TRUE,"mass",A43, TEXT(ROUND(B43:G43,1),"0.0"))))</f>
        <v>mass	35	10021.0	10021.0	10021.0	263.3	4029.4	3766.0</v>
      </c>
      <c r="M43" s="25"/>
    </row>
    <row r="44" spans="1:13" x14ac:dyDescent="0.3">
      <c r="A44" s="66">
        <v>36</v>
      </c>
      <c r="B44" s="65">
        <f>_xlfn.XLOOKUP(A44,M_Nodes!A:A,M_Nodes!B:B,0)+_xlfn.XLOOKUP(A44,M_Roof!A:A,M_Roof!E:E,0)+_xlfn.XLOOKUP('TCL_Nodal masses'!A44,'M_Filling material'!D:D,'M_Filling material'!R:R,0)+_xlfn.XLOOKUP('TCL_Nodal masses'!A44,'M_Filling material'!E:E,'M_Filling material'!R:R,0)+_xlfn.XLOOKUP('TCL_Nodal masses'!A44,'M_Filling material'!F:F,'M_Filling material'!R:R,0)+_xlfn.XLOOKUP('TCL_Nodal masses'!A44,'M_Filling material'!G:G,'M_Filling material'!R:R,0)+_xlfn.XLOOKUP(A44,M_Floor!C:C,M_Floor!S:S,0)+_xlfn.XLOOKUP(A44,M_Floor!D:D,M_Floor!S:S,0)+_xlfn.XLOOKUP(A44,M_Floor!E:E,M_Floor!S:S,0)+_xlfn.XLOOKUP(A44,M_Floor!F:F,M_Floor!S:S,0)</f>
        <v>2721.6</v>
      </c>
      <c r="C44" s="65">
        <f t="shared" si="0"/>
        <v>2721.6</v>
      </c>
      <c r="D44" s="65">
        <f t="shared" si="1"/>
        <v>2721.6</v>
      </c>
      <c r="E44" s="65">
        <f>_xlfn.XLOOKUP(A44,M_Nodes!A:A,M_Nodes!E:E,0)</f>
        <v>435.5</v>
      </c>
      <c r="F44" s="65">
        <f>_xlfn.XLOOKUP(A44,M_Nodes!A:A,M_Nodes!F:F,0)</f>
        <v>1258.7</v>
      </c>
      <c r="G44" s="65">
        <f>_xlfn.XLOOKUP(A44,M_Nodes!A:A,M_Nodes!G:G,0)</f>
        <v>823.3</v>
      </c>
      <c r="H44" s="66" t="str" cm="1">
        <f t="array" ref="H44">IF(SUM(B44:G44)=0,"",TRIM(_xlfn.TEXTJOIN(CHAR(9),TRUE,"mass",A44, TEXT(ROUND(B44:G44,1),"0.0"))))</f>
        <v>mass	36	2721.6	2721.6	2721.6	435.5	1258.7	823.3</v>
      </c>
      <c r="M44" s="25"/>
    </row>
    <row r="45" spans="1:13" x14ac:dyDescent="0.3">
      <c r="A45" s="66">
        <v>37</v>
      </c>
      <c r="B45" s="65">
        <f>_xlfn.XLOOKUP(A45,M_Nodes!A:A,M_Nodes!B:B,0)+_xlfn.XLOOKUP(A45,M_Roof!A:A,M_Roof!E:E,0)+_xlfn.XLOOKUP('TCL_Nodal masses'!A45,'M_Filling material'!D:D,'M_Filling material'!R:R,0)+_xlfn.XLOOKUP('TCL_Nodal masses'!A45,'M_Filling material'!E:E,'M_Filling material'!R:R,0)+_xlfn.XLOOKUP('TCL_Nodal masses'!A45,'M_Filling material'!F:F,'M_Filling material'!R:R,0)+_xlfn.XLOOKUP('TCL_Nodal masses'!A45,'M_Filling material'!G:G,'M_Filling material'!R:R,0)+_xlfn.XLOOKUP(A45,M_Floor!C:C,M_Floor!S:S,0)+_xlfn.XLOOKUP(A45,M_Floor!D:D,M_Floor!S:S,0)+_xlfn.XLOOKUP(A45,M_Floor!E:E,M_Floor!S:S,0)+_xlfn.XLOOKUP(A45,M_Floor!F:F,M_Floor!S:S,0)</f>
        <v>2822.4</v>
      </c>
      <c r="C45" s="65">
        <f t="shared" si="0"/>
        <v>2822.4</v>
      </c>
      <c r="D45" s="65">
        <f t="shared" si="1"/>
        <v>2822.4</v>
      </c>
      <c r="E45" s="65">
        <f>_xlfn.XLOOKUP(A45,M_Nodes!A:A,M_Nodes!E:E,0)</f>
        <v>451.6</v>
      </c>
      <c r="F45" s="65">
        <f>_xlfn.XLOOKUP(A45,M_Nodes!A:A,M_Nodes!F:F,0)</f>
        <v>2737.7</v>
      </c>
      <c r="G45" s="65">
        <f>_xlfn.XLOOKUP(A45,M_Nodes!A:A,M_Nodes!G:G,0)</f>
        <v>2286.1</v>
      </c>
      <c r="H45" s="66" t="str" cm="1">
        <f t="array" ref="H45">IF(SUM(B45:G45)=0,"",TRIM(_xlfn.TEXTJOIN(CHAR(9),TRUE,"mass",A45, TEXT(ROUND(B45:G45,1),"0.0"))))</f>
        <v>mass	37	2822.4	2822.4	2822.4	451.6	2737.7	2286.1</v>
      </c>
      <c r="M45" s="25"/>
    </row>
    <row r="46" spans="1:13" x14ac:dyDescent="0.3">
      <c r="A46" s="66">
        <v>38</v>
      </c>
      <c r="B46" s="65">
        <f>_xlfn.XLOOKUP(A46,M_Nodes!A:A,M_Nodes!B:B,0)+_xlfn.XLOOKUP(A46,M_Roof!A:A,M_Roof!E:E,0)+_xlfn.XLOOKUP('TCL_Nodal masses'!A46,'M_Filling material'!D:D,'M_Filling material'!R:R,0)+_xlfn.XLOOKUP('TCL_Nodal masses'!A46,'M_Filling material'!E:E,'M_Filling material'!R:R,0)+_xlfn.XLOOKUP('TCL_Nodal masses'!A46,'M_Filling material'!F:F,'M_Filling material'!R:R,0)+_xlfn.XLOOKUP('TCL_Nodal masses'!A46,'M_Filling material'!G:G,'M_Filling material'!R:R,0)+_xlfn.XLOOKUP(A46,M_Floor!C:C,M_Floor!S:S,0)+_xlfn.XLOOKUP(A46,M_Floor!D:D,M_Floor!S:S,0)+_xlfn.XLOOKUP(A46,M_Floor!E:E,M_Floor!S:S,0)+_xlfn.XLOOKUP(A46,M_Floor!F:F,M_Floor!S:S,0)</f>
        <v>2721.6</v>
      </c>
      <c r="C46" s="65">
        <f t="shared" si="0"/>
        <v>2721.6</v>
      </c>
      <c r="D46" s="65">
        <f t="shared" si="1"/>
        <v>2721.6</v>
      </c>
      <c r="E46" s="65">
        <f>_xlfn.XLOOKUP(A46,M_Nodes!A:A,M_Nodes!E:E,0)</f>
        <v>435.5</v>
      </c>
      <c r="F46" s="65">
        <f>_xlfn.XLOOKUP(A46,M_Nodes!A:A,M_Nodes!F:F,0)</f>
        <v>1258.7</v>
      </c>
      <c r="G46" s="65">
        <f>_xlfn.XLOOKUP(A46,M_Nodes!A:A,M_Nodes!G:G,0)</f>
        <v>823.3</v>
      </c>
      <c r="H46" s="66" t="str" cm="1">
        <f t="array" ref="H46">IF(SUM(B46:G46)=0,"",TRIM(_xlfn.TEXTJOIN(CHAR(9),TRUE,"mass",A46, TEXT(ROUND(B46:G46,1),"0.0"))))</f>
        <v>mass	38	2721.6	2721.6	2721.6	435.5	1258.7	823.3</v>
      </c>
      <c r="M46" s="25"/>
    </row>
    <row r="47" spans="1:13" x14ac:dyDescent="0.3">
      <c r="A47" s="66">
        <v>39</v>
      </c>
      <c r="B47" s="65">
        <f>_xlfn.XLOOKUP(A47,M_Nodes!A:A,M_Nodes!B:B,0)+_xlfn.XLOOKUP(A47,M_Roof!A:A,M_Roof!E:E,0)+_xlfn.XLOOKUP('TCL_Nodal masses'!A47,'M_Filling material'!D:D,'M_Filling material'!R:R,0)+_xlfn.XLOOKUP('TCL_Nodal masses'!A47,'M_Filling material'!E:E,'M_Filling material'!R:R,0)+_xlfn.XLOOKUP('TCL_Nodal masses'!A47,'M_Filling material'!F:F,'M_Filling material'!R:R,0)+_xlfn.XLOOKUP('TCL_Nodal masses'!A47,'M_Filling material'!G:G,'M_Filling material'!R:R,0)+_xlfn.XLOOKUP(A47,M_Floor!C:C,M_Floor!S:S,0)+_xlfn.XLOOKUP(A47,M_Floor!D:D,M_Floor!S:S,0)+_xlfn.XLOOKUP(A47,M_Floor!E:E,M_Floor!S:S,0)+_xlfn.XLOOKUP(A47,M_Floor!F:F,M_Floor!S:S,0)</f>
        <v>2096.6</v>
      </c>
      <c r="C47" s="65">
        <f t="shared" si="0"/>
        <v>2096.6</v>
      </c>
      <c r="D47" s="65">
        <f t="shared" si="1"/>
        <v>2096.6</v>
      </c>
      <c r="E47" s="65">
        <f>_xlfn.XLOOKUP(A47,M_Nodes!A:A,M_Nodes!E:E,0)</f>
        <v>335.5</v>
      </c>
      <c r="F47" s="65">
        <f>_xlfn.XLOOKUP(A47,M_Nodes!A:A,M_Nodes!F:F,0)</f>
        <v>2603.1999999999998</v>
      </c>
      <c r="G47" s="65">
        <f>_xlfn.XLOOKUP(A47,M_Nodes!A:A,M_Nodes!G:G,0)</f>
        <v>2267.6999999999998</v>
      </c>
      <c r="H47" s="66" t="str" cm="1">
        <f t="array" ref="H47">IF(SUM(B47:G47)=0,"",TRIM(_xlfn.TEXTJOIN(CHAR(9),TRUE,"mass",A47, TEXT(ROUND(B47:G47,1),"0.0"))))</f>
        <v>mass	39	2096.6	2096.6	2096.6	335.5	2603.2	2267.7</v>
      </c>
      <c r="M47" s="25"/>
    </row>
    <row r="48" spans="1:13" x14ac:dyDescent="0.3">
      <c r="A48" s="66">
        <v>40</v>
      </c>
      <c r="B48" s="65">
        <f ca="1">_xlfn.XLOOKUP(A48,M_Nodes!A:A,M_Nodes!B:B,0)+_xlfn.XLOOKUP(A48,M_Roof!A:A,M_Roof!E:E,0)+_xlfn.XLOOKUP('TCL_Nodal masses'!A48,'M_Filling material'!D:D,'M_Filling material'!R:R,0)+_xlfn.XLOOKUP('TCL_Nodal masses'!A48,'M_Filling material'!E:E,'M_Filling material'!R:R,0)+_xlfn.XLOOKUP('TCL_Nodal masses'!A48,'M_Filling material'!F:F,'M_Filling material'!R:R,0)+_xlfn.XLOOKUP('TCL_Nodal masses'!A48,'M_Filling material'!G:G,'M_Filling material'!R:R,0)+_xlfn.XLOOKUP(A48,M_Floor!C:C,M_Floor!S:S,0)+_xlfn.XLOOKUP(A48,M_Floor!D:D,M_Floor!S:S,0)+_xlfn.XLOOKUP(A48,M_Floor!E:E,M_Floor!S:S,0)+_xlfn.XLOOKUP(A48,M_Floor!F:F,M_Floor!S:S,0)</f>
        <v>7194.9474006116197</v>
      </c>
      <c r="C48" s="65">
        <f t="shared" ca="1" si="0"/>
        <v>7194.9474006116197</v>
      </c>
      <c r="D48" s="65">
        <f t="shared" ca="1" si="1"/>
        <v>7194.9474006116197</v>
      </c>
      <c r="E48" s="65">
        <f>_xlfn.XLOOKUP(A48,M_Nodes!A:A,M_Nodes!E:E,0)</f>
        <v>306.10000000000002</v>
      </c>
      <c r="F48" s="65">
        <f>_xlfn.XLOOKUP(A48,M_Nodes!A:A,M_Nodes!F:F,0)</f>
        <v>299.10000000000002</v>
      </c>
      <c r="G48" s="65">
        <f>_xlfn.XLOOKUP(A48,M_Nodes!A:A,M_Nodes!G:G,0)</f>
        <v>7.1</v>
      </c>
      <c r="H48" s="66" t="str" cm="1">
        <f t="array" aca="1" ref="H48" ca="1">IF(SUM(B48:G48)=0,"",TRIM(_xlfn.TEXTJOIN(CHAR(9),TRUE,"mass",A48, TEXT(ROUND(B48:G48,1),"0.0"))))</f>
        <v>mass	40	7194.9	7194.9	7194.9	306.1	299.1	7.1</v>
      </c>
      <c r="M48" s="25"/>
    </row>
    <row r="49" spans="1:13" x14ac:dyDescent="0.3">
      <c r="A49" s="66">
        <v>41</v>
      </c>
      <c r="B49" s="65">
        <f ca="1">_xlfn.XLOOKUP(A49,M_Nodes!A:A,M_Nodes!B:B,0)+_xlfn.XLOOKUP(A49,M_Roof!A:A,M_Roof!E:E,0)+_xlfn.XLOOKUP('TCL_Nodal masses'!A49,'M_Filling material'!D:D,'M_Filling material'!R:R,0)+_xlfn.XLOOKUP('TCL_Nodal masses'!A49,'M_Filling material'!E:E,'M_Filling material'!R:R,0)+_xlfn.XLOOKUP('TCL_Nodal masses'!A49,'M_Filling material'!F:F,'M_Filling material'!R:R,0)+_xlfn.XLOOKUP('TCL_Nodal masses'!A49,'M_Filling material'!G:G,'M_Filling material'!R:R,0)+_xlfn.XLOOKUP(A49,M_Floor!C:C,M_Floor!S:S,0)+_xlfn.XLOOKUP(A49,M_Floor!D:D,M_Floor!S:S,0)+_xlfn.XLOOKUP(A49,M_Floor!E:E,M_Floor!S:S,0)+_xlfn.XLOOKUP(A49,M_Floor!F:F,M_Floor!S:S,0)</f>
        <v>14032.653792774272</v>
      </c>
      <c r="C49" s="65">
        <f t="shared" ca="1" si="0"/>
        <v>14032.653792774272</v>
      </c>
      <c r="D49" s="65">
        <f t="shared" ca="1" si="1"/>
        <v>14032.653792774272</v>
      </c>
      <c r="E49" s="65">
        <f>_xlfn.XLOOKUP(A49,M_Nodes!A:A,M_Nodes!E:E,0)</f>
        <v>575.4</v>
      </c>
      <c r="F49" s="65">
        <f>_xlfn.XLOOKUP(A49,M_Nodes!A:A,M_Nodes!F:F,0)</f>
        <v>557</v>
      </c>
      <c r="G49" s="65">
        <f>_xlfn.XLOOKUP(A49,M_Nodes!A:A,M_Nodes!G:G,0)</f>
        <v>18.399999999999999</v>
      </c>
      <c r="H49" s="66" t="str" cm="1">
        <f t="array" aca="1" ref="H49" ca="1">IF(SUM(B49:G49)=0,"",TRIM(_xlfn.TEXTJOIN(CHAR(9),TRUE,"mass",A49, TEXT(ROUND(B49:G49,1),"0.0"))))</f>
        <v>mass	41	14032.7	14032.7	14032.7	575.4	557.0	18.4</v>
      </c>
      <c r="M49" s="25"/>
    </row>
    <row r="50" spans="1:13" x14ac:dyDescent="0.3">
      <c r="A50" s="66">
        <v>42</v>
      </c>
      <c r="B50" s="65">
        <f>_xlfn.XLOOKUP(A50,M_Nodes!A:A,M_Nodes!B:B,0)+_xlfn.XLOOKUP(A50,M_Roof!A:A,M_Roof!E:E,0)+_xlfn.XLOOKUP('TCL_Nodal masses'!A50,'M_Filling material'!D:D,'M_Filling material'!R:R,0)+_xlfn.XLOOKUP('TCL_Nodal masses'!A50,'M_Filling material'!E:E,'M_Filling material'!R:R,0)+_xlfn.XLOOKUP('TCL_Nodal masses'!A50,'M_Filling material'!F:F,'M_Filling material'!R:R,0)+_xlfn.XLOOKUP('TCL_Nodal masses'!A50,'M_Filling material'!G:G,'M_Filling material'!R:R,0)+_xlfn.XLOOKUP(A50,M_Floor!C:C,M_Floor!S:S,0)+_xlfn.XLOOKUP(A50,M_Floor!D:D,M_Floor!S:S,0)+_xlfn.XLOOKUP(A50,M_Floor!E:E,M_Floor!S:S,0)+_xlfn.XLOOKUP(A50,M_Floor!F:F,M_Floor!S:S,0)</f>
        <v>4435.2</v>
      </c>
      <c r="C50" s="65">
        <f t="shared" si="0"/>
        <v>4435.2</v>
      </c>
      <c r="D50" s="65">
        <f t="shared" si="1"/>
        <v>4435.2</v>
      </c>
      <c r="E50" s="65">
        <f>_xlfn.XLOOKUP(A50,M_Nodes!A:A,M_Nodes!E:E,0)</f>
        <v>720.7</v>
      </c>
      <c r="F50" s="65">
        <f>_xlfn.XLOOKUP(A50,M_Nodes!A:A,M_Nodes!F:F,0)</f>
        <v>709.6</v>
      </c>
      <c r="G50" s="65">
        <f>_xlfn.XLOOKUP(A50,M_Nodes!A:A,M_Nodes!G:G,0)</f>
        <v>11.1</v>
      </c>
      <c r="H50" s="66" t="str" cm="1">
        <f t="array" ref="H50">IF(SUM(B50:G50)=0,"",TRIM(_xlfn.TEXTJOIN(CHAR(9),TRUE,"mass",A50, TEXT(ROUND(B50:G50,1),"0.0"))))</f>
        <v>mass	42	4435.2	4435.2	4435.2	720.7	709.6	11.1</v>
      </c>
      <c r="M50" s="25"/>
    </row>
    <row r="51" spans="1:13" x14ac:dyDescent="0.3">
      <c r="A51" s="66">
        <v>43</v>
      </c>
      <c r="B51" s="65">
        <f ca="1">_xlfn.XLOOKUP(A51,M_Nodes!A:A,M_Nodes!B:B,0)+_xlfn.XLOOKUP(A51,M_Roof!A:A,M_Roof!E:E,0)+_xlfn.XLOOKUP('TCL_Nodal masses'!A51,'M_Filling material'!D:D,'M_Filling material'!R:R,0)+_xlfn.XLOOKUP('TCL_Nodal masses'!A51,'M_Filling material'!E:E,'M_Filling material'!R:R,0)+_xlfn.XLOOKUP('TCL_Nodal masses'!A51,'M_Filling material'!F:F,'M_Filling material'!R:R,0)+_xlfn.XLOOKUP('TCL_Nodal masses'!A51,'M_Filling material'!G:G,'M_Filling material'!R:R,0)+_xlfn.XLOOKUP(A51,M_Floor!C:C,M_Floor!S:S,0)+_xlfn.XLOOKUP(A51,M_Floor!D:D,M_Floor!S:S,0)+_xlfn.XLOOKUP(A51,M_Floor!E:E,M_Floor!S:S,0)+_xlfn.XLOOKUP(A51,M_Floor!F:F,M_Floor!S:S,0)</f>
        <v>12977.01620795107</v>
      </c>
      <c r="C51" s="65">
        <f t="shared" ca="1" si="0"/>
        <v>12977.01620795107</v>
      </c>
      <c r="D51" s="65">
        <f t="shared" ca="1" si="1"/>
        <v>12977.01620795107</v>
      </c>
      <c r="E51" s="65">
        <f>_xlfn.XLOOKUP(A51,M_Nodes!A:A,M_Nodes!E:E,0)</f>
        <v>952.7</v>
      </c>
      <c r="F51" s="65">
        <f>_xlfn.XLOOKUP(A51,M_Nodes!A:A,M_Nodes!F:F,0)</f>
        <v>1437</v>
      </c>
      <c r="G51" s="65">
        <f>_xlfn.XLOOKUP(A51,M_Nodes!A:A,M_Nodes!G:G,0)</f>
        <v>484.4</v>
      </c>
      <c r="H51" s="66" t="str" cm="1">
        <f t="array" aca="1" ref="H51" ca="1">IF(SUM(B51:G51)=0,"",TRIM(_xlfn.TEXTJOIN(CHAR(9),TRUE,"mass",A51, TEXT(ROUND(B51:G51,1),"0.0"))))</f>
        <v>mass	43	12977.0	12977.0	12977.0	952.7	1437.0	484.4</v>
      </c>
      <c r="M51" s="25"/>
    </row>
    <row r="52" spans="1:13" x14ac:dyDescent="0.3">
      <c r="A52" s="66">
        <v>44</v>
      </c>
      <c r="B52" s="65">
        <f ca="1">_xlfn.XLOOKUP(A52,M_Nodes!A:A,M_Nodes!B:B,0)+_xlfn.XLOOKUP(A52,M_Roof!A:A,M_Roof!E:E,0)+_xlfn.XLOOKUP('TCL_Nodal masses'!A52,'M_Filling material'!D:D,'M_Filling material'!R:R,0)+_xlfn.XLOOKUP('TCL_Nodal masses'!A52,'M_Filling material'!E:E,'M_Filling material'!R:R,0)+_xlfn.XLOOKUP('TCL_Nodal masses'!A52,'M_Filling material'!F:F,'M_Filling material'!R:R,0)+_xlfn.XLOOKUP('TCL_Nodal masses'!A52,'M_Filling material'!G:G,'M_Filling material'!R:R,0)+_xlfn.XLOOKUP(A52,M_Floor!C:C,M_Floor!S:S,0)+_xlfn.XLOOKUP(A52,M_Floor!D:D,M_Floor!S:S,0)+_xlfn.XLOOKUP(A52,M_Floor!E:E,M_Floor!S:S,0)+_xlfn.XLOOKUP(A52,M_Floor!F:F,M_Floor!S:S,0)</f>
        <v>6868.4402014844545</v>
      </c>
      <c r="C52" s="65">
        <f t="shared" ca="1" si="0"/>
        <v>6868.4402014844545</v>
      </c>
      <c r="D52" s="65">
        <f t="shared" ca="1" si="1"/>
        <v>6868.4402014844545</v>
      </c>
      <c r="E52" s="65">
        <f>_xlfn.XLOOKUP(A52,M_Nodes!A:A,M_Nodes!E:E,0)</f>
        <v>728.2</v>
      </c>
      <c r="F52" s="65">
        <f>_xlfn.XLOOKUP(A52,M_Nodes!A:A,M_Nodes!F:F,0)</f>
        <v>2209.1</v>
      </c>
      <c r="G52" s="65">
        <f>_xlfn.XLOOKUP(A52,M_Nodes!A:A,M_Nodes!G:G,0)</f>
        <v>1480.9</v>
      </c>
      <c r="H52" s="66" t="str" cm="1">
        <f t="array" aca="1" ref="H52" ca="1">IF(SUM(B52:G52)=0,"",TRIM(_xlfn.TEXTJOIN(CHAR(9),TRUE,"mass",A52, TEXT(ROUND(B52:G52,1),"0.0"))))</f>
        <v>mass	44	6868.4	6868.4	6868.4	728.2	2209.1	1480.9</v>
      </c>
      <c r="M52" s="25"/>
    </row>
    <row r="53" spans="1:13" x14ac:dyDescent="0.3">
      <c r="A53" s="66">
        <v>45</v>
      </c>
      <c r="B53" s="65">
        <f ca="1">_xlfn.XLOOKUP(A53,M_Nodes!A:A,M_Nodes!B:B,0)+_xlfn.XLOOKUP(A53,M_Roof!A:A,M_Roof!E:E,0)+_xlfn.XLOOKUP('TCL_Nodal masses'!A53,'M_Filling material'!D:D,'M_Filling material'!R:R,0)+_xlfn.XLOOKUP('TCL_Nodal masses'!A53,'M_Filling material'!E:E,'M_Filling material'!R:R,0)+_xlfn.XLOOKUP('TCL_Nodal masses'!A53,'M_Filling material'!F:F,'M_Filling material'!R:R,0)+_xlfn.XLOOKUP('TCL_Nodal masses'!A53,'M_Filling material'!G:G,'M_Filling material'!R:R,0)+_xlfn.XLOOKUP(A53,M_Floor!C:C,M_Floor!S:S,0)+_xlfn.XLOOKUP(A53,M_Floor!D:D,M_Floor!S:S,0)+_xlfn.XLOOKUP(A53,M_Floor!E:E,M_Floor!S:S,0)+_xlfn.XLOOKUP(A53,M_Floor!F:F,M_Floor!S:S,0)</f>
        <v>11057.693476044848</v>
      </c>
      <c r="C53" s="65">
        <f t="shared" ca="1" si="0"/>
        <v>11057.693476044848</v>
      </c>
      <c r="D53" s="65">
        <f t="shared" ca="1" si="1"/>
        <v>11057.693476044848</v>
      </c>
      <c r="E53" s="65">
        <f>_xlfn.XLOOKUP(A53,M_Nodes!A:A,M_Nodes!E:E,0)</f>
        <v>421.6</v>
      </c>
      <c r="F53" s="65">
        <f>_xlfn.XLOOKUP(A53,M_Nodes!A:A,M_Nodes!F:F,0)</f>
        <v>691.4</v>
      </c>
      <c r="G53" s="65">
        <f>_xlfn.XLOOKUP(A53,M_Nodes!A:A,M_Nodes!G:G,0)</f>
        <v>269.8</v>
      </c>
      <c r="H53" s="66" t="str" cm="1">
        <f t="array" aca="1" ref="H53" ca="1">IF(SUM(B53:G53)=0,"",TRIM(_xlfn.TEXTJOIN(CHAR(9),TRUE,"mass",A53, TEXT(ROUND(B53:G53,1),"0.0"))))</f>
        <v>mass	45	11057.7	11057.7	11057.7	421.6	691.4	269.8</v>
      </c>
      <c r="M53" s="25"/>
    </row>
    <row r="54" spans="1:13" x14ac:dyDescent="0.3">
      <c r="A54" s="66">
        <v>46</v>
      </c>
      <c r="B54" s="65">
        <f ca="1">_xlfn.XLOOKUP(A54,M_Nodes!A:A,M_Nodes!B:B,0)+_xlfn.XLOOKUP(A54,M_Roof!A:A,M_Roof!E:E,0)+_xlfn.XLOOKUP('TCL_Nodal masses'!A54,'M_Filling material'!D:D,'M_Filling material'!R:R,0)+_xlfn.XLOOKUP('TCL_Nodal masses'!A54,'M_Filling material'!E:E,'M_Filling material'!R:R,0)+_xlfn.XLOOKUP('TCL_Nodal masses'!A54,'M_Filling material'!F:F,'M_Filling material'!R:R,0)+_xlfn.XLOOKUP('TCL_Nodal masses'!A54,'M_Filling material'!G:G,'M_Filling material'!R:R,0)+_xlfn.XLOOKUP(A54,M_Floor!C:C,M_Floor!S:S,0)+_xlfn.XLOOKUP(A54,M_Floor!D:D,M_Floor!S:S,0)+_xlfn.XLOOKUP(A54,M_Floor!E:E,M_Floor!S:S,0)+_xlfn.XLOOKUP(A54,M_Floor!F:F,M_Floor!S:S,0)</f>
        <v>15885.68408712448</v>
      </c>
      <c r="C54" s="65">
        <f t="shared" ca="1" si="0"/>
        <v>15885.68408712448</v>
      </c>
      <c r="D54" s="65">
        <f t="shared" ca="1" si="1"/>
        <v>15885.68408712448</v>
      </c>
      <c r="E54" s="65">
        <f>_xlfn.XLOOKUP(A54,M_Nodes!A:A,M_Nodes!E:E,0)</f>
        <v>180.8</v>
      </c>
      <c r="F54" s="65">
        <f>_xlfn.XLOOKUP(A54,M_Nodes!A:A,M_Nodes!F:F,0)</f>
        <v>781</v>
      </c>
      <c r="G54" s="65">
        <f>_xlfn.XLOOKUP(A54,M_Nodes!A:A,M_Nodes!G:G,0)</f>
        <v>600.20000000000005</v>
      </c>
      <c r="H54" s="66" t="str" cm="1">
        <f t="array" aca="1" ref="H54" ca="1">IF(SUM(B54:G54)=0,"",TRIM(_xlfn.TEXTJOIN(CHAR(9),TRUE,"mass",A54, TEXT(ROUND(B54:G54,1),"0.0"))))</f>
        <v>mass	46	15885.7	15885.7	15885.7	180.8	781.0	600.2</v>
      </c>
      <c r="M54" s="25"/>
    </row>
    <row r="55" spans="1:13" x14ac:dyDescent="0.3">
      <c r="A55" s="66">
        <v>47</v>
      </c>
      <c r="B55" s="65">
        <f ca="1">_xlfn.XLOOKUP(A55,M_Nodes!A:A,M_Nodes!B:B,0)+_xlfn.XLOOKUP(A55,M_Roof!A:A,M_Roof!E:E,0)+_xlfn.XLOOKUP('TCL_Nodal masses'!A55,'M_Filling material'!D:D,'M_Filling material'!R:R,0)+_xlfn.XLOOKUP('TCL_Nodal masses'!A55,'M_Filling material'!E:E,'M_Filling material'!R:R,0)+_xlfn.XLOOKUP('TCL_Nodal masses'!A55,'M_Filling material'!F:F,'M_Filling material'!R:R,0)+_xlfn.XLOOKUP('TCL_Nodal masses'!A55,'M_Filling material'!G:G,'M_Filling material'!R:R,0)+_xlfn.XLOOKUP(A55,M_Floor!C:C,M_Floor!S:S,0)+_xlfn.XLOOKUP(A55,M_Floor!D:D,M_Floor!S:S,0)+_xlfn.XLOOKUP(A55,M_Floor!E:E,M_Floor!S:S,0)+_xlfn.XLOOKUP(A55,M_Floor!F:F,M_Floor!S:S,0)</f>
        <v>11313.300741361985</v>
      </c>
      <c r="C55" s="65">
        <f t="shared" ca="1" si="0"/>
        <v>11313.300741361985</v>
      </c>
      <c r="D55" s="65">
        <f t="shared" ca="1" si="1"/>
        <v>11313.300741361985</v>
      </c>
      <c r="E55" s="65">
        <f>_xlfn.XLOOKUP(A55,M_Nodes!A:A,M_Nodes!E:E,0)</f>
        <v>138.19999999999999</v>
      </c>
      <c r="F55" s="65">
        <f>_xlfn.XLOOKUP(A55,M_Nodes!A:A,M_Nodes!F:F,0)</f>
        <v>1973.3</v>
      </c>
      <c r="G55" s="65">
        <f>_xlfn.XLOOKUP(A55,M_Nodes!A:A,M_Nodes!G:G,0)</f>
        <v>1835.1</v>
      </c>
      <c r="H55" s="66" t="str" cm="1">
        <f t="array" aca="1" ref="H55" ca="1">IF(SUM(B55:G55)=0,"",TRIM(_xlfn.TEXTJOIN(CHAR(9),TRUE,"mass",A55, TEXT(ROUND(B55:G55,1),"0.0"))))</f>
        <v>mass	47	11313.3	11313.3	11313.3	138.2	1973.3	1835.1</v>
      </c>
      <c r="M55" s="25"/>
    </row>
    <row r="56" spans="1:13" x14ac:dyDescent="0.3">
      <c r="A56" s="66">
        <v>48</v>
      </c>
      <c r="B56" s="65">
        <f ca="1">_xlfn.XLOOKUP(A56,M_Nodes!A:A,M_Nodes!B:B,0)+_xlfn.XLOOKUP(A56,M_Roof!A:A,M_Roof!E:E,0)+_xlfn.XLOOKUP('TCL_Nodal masses'!A56,'M_Filling material'!D:D,'M_Filling material'!R:R,0)+_xlfn.XLOOKUP('TCL_Nodal masses'!A56,'M_Filling material'!E:E,'M_Filling material'!R:R,0)+_xlfn.XLOOKUP('TCL_Nodal masses'!A56,'M_Filling material'!F:F,'M_Filling material'!R:R,0)+_xlfn.XLOOKUP('TCL_Nodal masses'!A56,'M_Filling material'!G:G,'M_Filling material'!R:R,0)+_xlfn.XLOOKUP(A56,M_Floor!C:C,M_Floor!S:S,0)+_xlfn.XLOOKUP(A56,M_Floor!D:D,M_Floor!S:S,0)+_xlfn.XLOOKUP(A56,M_Floor!E:E,M_Floor!S:S,0)+_xlfn.XLOOKUP(A56,M_Floor!F:F,M_Floor!S:S,0)</f>
        <v>11262.360689153884</v>
      </c>
      <c r="C56" s="65">
        <f t="shared" ca="1" si="0"/>
        <v>11262.360689153884</v>
      </c>
      <c r="D56" s="65">
        <f t="shared" ca="1" si="1"/>
        <v>11262.360689153884</v>
      </c>
      <c r="E56" s="65">
        <f>_xlfn.XLOOKUP(A56,M_Nodes!A:A,M_Nodes!E:E,0)</f>
        <v>80</v>
      </c>
      <c r="F56" s="65">
        <f>_xlfn.XLOOKUP(A56,M_Nodes!A:A,M_Nodes!F:F,0)</f>
        <v>414.3</v>
      </c>
      <c r="G56" s="65">
        <f>_xlfn.XLOOKUP(A56,M_Nodes!A:A,M_Nodes!G:G,0)</f>
        <v>334.3</v>
      </c>
      <c r="H56" s="66" t="str" cm="1">
        <f t="array" aca="1" ref="H56" ca="1">IF(SUM(B56:G56)=0,"",TRIM(_xlfn.TEXTJOIN(CHAR(9),TRUE,"mass",A56, TEXT(ROUND(B56:G56,1),"0.0"))))</f>
        <v>mass	48	11262.4	11262.4	11262.4	80.0	414.3	334.3</v>
      </c>
      <c r="M56" s="25"/>
    </row>
    <row r="57" spans="1:13" x14ac:dyDescent="0.3">
      <c r="A57" s="66">
        <v>49</v>
      </c>
      <c r="B57" s="65">
        <f>_xlfn.XLOOKUP(A57,M_Nodes!A:A,M_Nodes!B:B,0)+_xlfn.XLOOKUP(A57,M_Roof!A:A,M_Roof!E:E,0)+_xlfn.XLOOKUP('TCL_Nodal masses'!A57,'M_Filling material'!D:D,'M_Filling material'!R:R,0)+_xlfn.XLOOKUP('TCL_Nodal masses'!A57,'M_Filling material'!E:E,'M_Filling material'!R:R,0)+_xlfn.XLOOKUP('TCL_Nodal masses'!A57,'M_Filling material'!F:F,'M_Filling material'!R:R,0)+_xlfn.XLOOKUP('TCL_Nodal masses'!A57,'M_Filling material'!G:G,'M_Filling material'!R:R,0)+_xlfn.XLOOKUP(A57,M_Floor!C:C,M_Floor!S:S,0)+_xlfn.XLOOKUP(A57,M_Floor!D:D,M_Floor!S:S,0)+_xlfn.XLOOKUP(A57,M_Floor!E:E,M_Floor!S:S,0)+_xlfn.XLOOKUP(A57,M_Floor!F:F,M_Floor!S:S,0)</f>
        <v>0</v>
      </c>
      <c r="C57" s="65">
        <f t="shared" si="0"/>
        <v>0</v>
      </c>
      <c r="D57" s="65">
        <f t="shared" si="1"/>
        <v>0</v>
      </c>
      <c r="E57" s="65">
        <f>_xlfn.XLOOKUP(A57,M_Nodes!A:A,M_Nodes!E:E,0)</f>
        <v>0</v>
      </c>
      <c r="F57" s="65">
        <f>_xlfn.XLOOKUP(A57,M_Nodes!A:A,M_Nodes!F:F,0)</f>
        <v>0</v>
      </c>
      <c r="G57" s="65">
        <f>_xlfn.XLOOKUP(A57,M_Nodes!A:A,M_Nodes!G:G,0)</f>
        <v>0</v>
      </c>
      <c r="H57" s="66" t="str" cm="1">
        <f t="array" ref="H57">IF(SUM(B57:G57)=0,"",TRIM(_xlfn.TEXTJOIN(CHAR(9),TRUE,"mass",A57, TEXT(ROUND(B57:G57,1),"0.0"))))</f>
        <v/>
      </c>
      <c r="M57" s="25"/>
    </row>
    <row r="58" spans="1:13" x14ac:dyDescent="0.3">
      <c r="A58" s="66">
        <v>50</v>
      </c>
      <c r="B58" s="65">
        <f>_xlfn.XLOOKUP(A58,M_Nodes!A:A,M_Nodes!B:B,0)+_xlfn.XLOOKUP(A58,M_Roof!A:A,M_Roof!E:E,0)+_xlfn.XLOOKUP('TCL_Nodal masses'!A58,'M_Filling material'!D:D,'M_Filling material'!R:R,0)+_xlfn.XLOOKUP('TCL_Nodal masses'!A58,'M_Filling material'!E:E,'M_Filling material'!R:R,0)+_xlfn.XLOOKUP('TCL_Nodal masses'!A58,'M_Filling material'!F:F,'M_Filling material'!R:R,0)+_xlfn.XLOOKUP('TCL_Nodal masses'!A58,'M_Filling material'!G:G,'M_Filling material'!R:R,0)+_xlfn.XLOOKUP(A58,M_Floor!C:C,M_Floor!S:S,0)+_xlfn.XLOOKUP(A58,M_Floor!D:D,M_Floor!S:S,0)+_xlfn.XLOOKUP(A58,M_Floor!E:E,M_Floor!S:S,0)+_xlfn.XLOOKUP(A58,M_Floor!F:F,M_Floor!S:S,0)</f>
        <v>0</v>
      </c>
      <c r="C58" s="65">
        <f t="shared" si="0"/>
        <v>0</v>
      </c>
      <c r="D58" s="65">
        <f t="shared" si="1"/>
        <v>0</v>
      </c>
      <c r="E58" s="65">
        <f>_xlfn.XLOOKUP(A58,M_Nodes!A:A,M_Nodes!E:E,0)</f>
        <v>0</v>
      </c>
      <c r="F58" s="65">
        <f>_xlfn.XLOOKUP(A58,M_Nodes!A:A,M_Nodes!F:F,0)</f>
        <v>0</v>
      </c>
      <c r="G58" s="65">
        <f>_xlfn.XLOOKUP(A58,M_Nodes!A:A,M_Nodes!G:G,0)</f>
        <v>0</v>
      </c>
      <c r="H58" s="66" t="str" cm="1">
        <f t="array" ref="H58">IF(SUM(B58:G58)=0,"",TRIM(_xlfn.TEXTJOIN(CHAR(9),TRUE,"mass",A58, TEXT(ROUND(B58:G58,1),"0.0"))))</f>
        <v/>
      </c>
      <c r="M58" s="25"/>
    </row>
    <row r="59" spans="1:13" x14ac:dyDescent="0.3">
      <c r="A59" s="66">
        <v>51</v>
      </c>
      <c r="B59" s="65">
        <f>_xlfn.XLOOKUP(A59,M_Nodes!A:A,M_Nodes!B:B,0)+_xlfn.XLOOKUP(A59,M_Roof!A:A,M_Roof!E:E,0)+_xlfn.XLOOKUP('TCL_Nodal masses'!A59,'M_Filling material'!D:D,'M_Filling material'!R:R,0)+_xlfn.XLOOKUP('TCL_Nodal masses'!A59,'M_Filling material'!E:E,'M_Filling material'!R:R,0)+_xlfn.XLOOKUP('TCL_Nodal masses'!A59,'M_Filling material'!F:F,'M_Filling material'!R:R,0)+_xlfn.XLOOKUP('TCL_Nodal masses'!A59,'M_Filling material'!G:G,'M_Filling material'!R:R,0)+_xlfn.XLOOKUP(A59,M_Floor!C:C,M_Floor!S:S,0)+_xlfn.XLOOKUP(A59,M_Floor!D:D,M_Floor!S:S,0)+_xlfn.XLOOKUP(A59,M_Floor!E:E,M_Floor!S:S,0)+_xlfn.XLOOKUP(A59,M_Floor!F:F,M_Floor!S:S,0)</f>
        <v>0</v>
      </c>
      <c r="C59" s="65">
        <f t="shared" si="0"/>
        <v>0</v>
      </c>
      <c r="D59" s="65">
        <f t="shared" si="1"/>
        <v>0</v>
      </c>
      <c r="E59" s="65">
        <f>_xlfn.XLOOKUP(A59,M_Nodes!A:A,M_Nodes!E:E,0)</f>
        <v>0</v>
      </c>
      <c r="F59" s="65">
        <f>_xlfn.XLOOKUP(A59,M_Nodes!A:A,M_Nodes!F:F,0)</f>
        <v>0</v>
      </c>
      <c r="G59" s="65">
        <f>_xlfn.XLOOKUP(A59,M_Nodes!A:A,M_Nodes!G:G,0)</f>
        <v>0</v>
      </c>
      <c r="H59" s="66" t="str" cm="1">
        <f t="array" ref="H59">IF(SUM(B59:G59)=0,"",TRIM(_xlfn.TEXTJOIN(CHAR(9),TRUE,"mass",A59, TEXT(ROUND(B59:G59,1),"0.0"))))</f>
        <v/>
      </c>
      <c r="M59" s="25"/>
    </row>
    <row r="60" spans="1:13" x14ac:dyDescent="0.3">
      <c r="A60" s="66">
        <v>52</v>
      </c>
      <c r="B60" s="65">
        <f>_xlfn.XLOOKUP(A60,M_Nodes!A:A,M_Nodes!B:B,0)+_xlfn.XLOOKUP(A60,M_Roof!A:A,M_Roof!E:E,0)+_xlfn.XLOOKUP('TCL_Nodal masses'!A60,'M_Filling material'!D:D,'M_Filling material'!R:R,0)+_xlfn.XLOOKUP('TCL_Nodal masses'!A60,'M_Filling material'!E:E,'M_Filling material'!R:R,0)+_xlfn.XLOOKUP('TCL_Nodal masses'!A60,'M_Filling material'!F:F,'M_Filling material'!R:R,0)+_xlfn.XLOOKUP('TCL_Nodal masses'!A60,'M_Filling material'!G:G,'M_Filling material'!R:R,0)+_xlfn.XLOOKUP(A60,M_Floor!C:C,M_Floor!S:S,0)+_xlfn.XLOOKUP(A60,M_Floor!D:D,M_Floor!S:S,0)+_xlfn.XLOOKUP(A60,M_Floor!E:E,M_Floor!S:S,0)+_xlfn.XLOOKUP(A60,M_Floor!F:F,M_Floor!S:S,0)</f>
        <v>952.2</v>
      </c>
      <c r="C60" s="65">
        <f t="shared" si="0"/>
        <v>952.2</v>
      </c>
      <c r="D60" s="65">
        <f t="shared" si="1"/>
        <v>952.2</v>
      </c>
      <c r="E60" s="65">
        <f>_xlfn.XLOOKUP(A60,M_Nodes!A:A,M_Nodes!E:E,0)</f>
        <v>448.7</v>
      </c>
      <c r="F60" s="65">
        <f>_xlfn.XLOOKUP(A60,M_Nodes!A:A,M_Nodes!F:F,0)</f>
        <v>314.8</v>
      </c>
      <c r="G60" s="65">
        <f>_xlfn.XLOOKUP(A60,M_Nodes!A:A,M_Nodes!G:G,0)</f>
        <v>133.9</v>
      </c>
      <c r="H60" s="66" t="str" cm="1">
        <f t="array" ref="H60">IF(SUM(B60:G60)=0,"",TRIM(_xlfn.TEXTJOIN(CHAR(9),TRUE,"mass",A60, TEXT(ROUND(B60:G60,1),"0.0"))))</f>
        <v>mass	52	952.2	952.2	952.2	448.7	314.8	133.9</v>
      </c>
      <c r="M60" s="25"/>
    </row>
    <row r="61" spans="1:13" x14ac:dyDescent="0.3">
      <c r="A61" s="66">
        <v>53</v>
      </c>
      <c r="B61" s="65">
        <f ca="1">_xlfn.XLOOKUP(A61,M_Nodes!A:A,M_Nodes!B:B,0)+_xlfn.XLOOKUP(A61,M_Roof!A:A,M_Roof!E:E,0)+_xlfn.XLOOKUP('TCL_Nodal masses'!A61,'M_Filling material'!D:D,'M_Filling material'!R:R,0)+_xlfn.XLOOKUP('TCL_Nodal masses'!A61,'M_Filling material'!E:E,'M_Filling material'!R:R,0)+_xlfn.XLOOKUP('TCL_Nodal masses'!A61,'M_Filling material'!F:F,'M_Filling material'!R:R,0)+_xlfn.XLOOKUP('TCL_Nodal masses'!A61,'M_Filling material'!G:G,'M_Filling material'!R:R,0)+_xlfn.XLOOKUP(A61,M_Floor!C:C,M_Floor!S:S,0)+_xlfn.XLOOKUP(A61,M_Floor!D:D,M_Floor!S:S,0)+_xlfn.XLOOKUP(A61,M_Floor!E:E,M_Floor!S:S,0)+_xlfn.XLOOKUP(A61,M_Floor!F:F,M_Floor!S:S,0)</f>
        <v>6785.7080739773219</v>
      </c>
      <c r="C61" s="65">
        <f t="shared" ca="1" si="0"/>
        <v>6785.7080739773219</v>
      </c>
      <c r="D61" s="65">
        <f t="shared" ca="1" si="1"/>
        <v>6785.7080739773219</v>
      </c>
      <c r="E61" s="65">
        <f>_xlfn.XLOOKUP(A61,M_Nodes!A:A,M_Nodes!E:E,0)</f>
        <v>188</v>
      </c>
      <c r="F61" s="65">
        <f>_xlfn.XLOOKUP(A61,M_Nodes!A:A,M_Nodes!F:F,0)</f>
        <v>49.8</v>
      </c>
      <c r="G61" s="65">
        <f>_xlfn.XLOOKUP(A61,M_Nodes!A:A,M_Nodes!G:G,0)</f>
        <v>138.30000000000001</v>
      </c>
      <c r="H61" s="66" t="str" cm="1">
        <f t="array" aca="1" ref="H61" ca="1">IF(SUM(B61:G61)=0,"",TRIM(_xlfn.TEXTJOIN(CHAR(9),TRUE,"mass",A61, TEXT(ROUND(B61:G61,1),"0.0"))))</f>
        <v>mass	53	6785.7	6785.7	6785.7	188.0	49.8	138.3</v>
      </c>
      <c r="M61" s="25"/>
    </row>
    <row r="62" spans="1:13" x14ac:dyDescent="0.3">
      <c r="A62" s="66">
        <v>54</v>
      </c>
      <c r="B62" s="65">
        <f>_xlfn.XLOOKUP(A62,M_Nodes!A:A,M_Nodes!B:B,0)+_xlfn.XLOOKUP(A62,M_Roof!A:A,M_Roof!E:E,0)+_xlfn.XLOOKUP('TCL_Nodal masses'!A62,'M_Filling material'!D:D,'M_Filling material'!R:R,0)+_xlfn.XLOOKUP('TCL_Nodal masses'!A62,'M_Filling material'!E:E,'M_Filling material'!R:R,0)+_xlfn.XLOOKUP('TCL_Nodal masses'!A62,'M_Filling material'!F:F,'M_Filling material'!R:R,0)+_xlfn.XLOOKUP('TCL_Nodal masses'!A62,'M_Filling material'!G:G,'M_Filling material'!R:R,0)+_xlfn.XLOOKUP(A62,M_Floor!C:C,M_Floor!S:S,0)+_xlfn.XLOOKUP(A62,M_Floor!D:D,M_Floor!S:S,0)+_xlfn.XLOOKUP(A62,M_Floor!E:E,M_Floor!S:S,0)+_xlfn.XLOOKUP(A62,M_Floor!F:F,M_Floor!S:S,0)</f>
        <v>0</v>
      </c>
      <c r="C62" s="65">
        <f t="shared" si="0"/>
        <v>0</v>
      </c>
      <c r="D62" s="65">
        <f t="shared" si="1"/>
        <v>0</v>
      </c>
      <c r="E62" s="65">
        <f>_xlfn.XLOOKUP(A62,M_Nodes!A:A,M_Nodes!E:E,0)</f>
        <v>0</v>
      </c>
      <c r="F62" s="65">
        <f>_xlfn.XLOOKUP(A62,M_Nodes!A:A,M_Nodes!F:F,0)</f>
        <v>0</v>
      </c>
      <c r="G62" s="65">
        <f>_xlfn.XLOOKUP(A62,M_Nodes!A:A,M_Nodes!G:G,0)</f>
        <v>0</v>
      </c>
      <c r="H62" s="66" t="str" cm="1">
        <f t="array" ref="H62">IF(SUM(B62:G62)=0,"",TRIM(_xlfn.TEXTJOIN(CHAR(9),TRUE,"mass",A62, TEXT(ROUND(B62:G62,1),"0.0"))))</f>
        <v/>
      </c>
      <c r="M62" s="25"/>
    </row>
    <row r="63" spans="1:13" x14ac:dyDescent="0.3">
      <c r="A63" s="66">
        <v>55</v>
      </c>
      <c r="B63" s="65">
        <f ca="1">_xlfn.XLOOKUP(A63,M_Nodes!A:A,M_Nodes!B:B,0)+_xlfn.XLOOKUP(A63,M_Roof!A:A,M_Roof!E:E,0)+_xlfn.XLOOKUP('TCL_Nodal masses'!A63,'M_Filling material'!D:D,'M_Filling material'!R:R,0)+_xlfn.XLOOKUP('TCL_Nodal masses'!A63,'M_Filling material'!E:E,'M_Filling material'!R:R,0)+_xlfn.XLOOKUP('TCL_Nodal masses'!A63,'M_Filling material'!F:F,'M_Filling material'!R:R,0)+_xlfn.XLOOKUP('TCL_Nodal masses'!A63,'M_Filling material'!G:G,'M_Filling material'!R:R,0)+_xlfn.XLOOKUP(A63,M_Floor!C:C,M_Floor!S:S,0)+_xlfn.XLOOKUP(A63,M_Floor!D:D,M_Floor!S:S,0)+_xlfn.XLOOKUP(A63,M_Floor!E:E,M_Floor!S:S,0)+_xlfn.XLOOKUP(A63,M_Floor!F:F,M_Floor!S:S,0)</f>
        <v>779.83796416284451</v>
      </c>
      <c r="C63" s="65">
        <f t="shared" ca="1" si="0"/>
        <v>779.83796416284451</v>
      </c>
      <c r="D63" s="65">
        <f t="shared" ca="1" si="1"/>
        <v>779.83796416284451</v>
      </c>
      <c r="E63" s="65">
        <f>_xlfn.XLOOKUP(A63,M_Nodes!A:A,M_Nodes!E:E,0)</f>
        <v>0</v>
      </c>
      <c r="F63" s="65">
        <f>_xlfn.XLOOKUP(A63,M_Nodes!A:A,M_Nodes!F:F,0)</f>
        <v>0</v>
      </c>
      <c r="G63" s="65">
        <f>_xlfn.XLOOKUP(A63,M_Nodes!A:A,M_Nodes!G:G,0)</f>
        <v>0</v>
      </c>
      <c r="H63" s="66" t="str" cm="1">
        <f t="array" aca="1" ref="H63" ca="1">IF(SUM(B63:G63)=0,"",TRIM(_xlfn.TEXTJOIN(CHAR(9),TRUE,"mass",A63, TEXT(ROUND(B63:G63,1),"0.0"))))</f>
        <v>mass	55	779.8	779.8	779.8	0.0	0.0	0.0</v>
      </c>
      <c r="M63" s="25"/>
    </row>
    <row r="64" spans="1:13" x14ac:dyDescent="0.3">
      <c r="A64" s="66">
        <v>56</v>
      </c>
      <c r="B64" s="65">
        <f ca="1">_xlfn.XLOOKUP(A64,M_Nodes!A:A,M_Nodes!B:B,0)+_xlfn.XLOOKUP(A64,M_Roof!A:A,M_Roof!E:E,0)+_xlfn.XLOOKUP('TCL_Nodal masses'!A64,'M_Filling material'!D:D,'M_Filling material'!R:R,0)+_xlfn.XLOOKUP('TCL_Nodal masses'!A64,'M_Filling material'!E:E,'M_Filling material'!R:R,0)+_xlfn.XLOOKUP('TCL_Nodal masses'!A64,'M_Filling material'!F:F,'M_Filling material'!R:R,0)+_xlfn.XLOOKUP('TCL_Nodal masses'!A64,'M_Filling material'!G:G,'M_Filling material'!R:R,0)+_xlfn.XLOOKUP(A64,M_Floor!C:C,M_Floor!S:S,0)+_xlfn.XLOOKUP(A64,M_Floor!D:D,M_Floor!S:S,0)+_xlfn.XLOOKUP(A64,M_Floor!E:E,M_Floor!S:S,0)+_xlfn.XLOOKUP(A64,M_Floor!F:F,M_Floor!S:S,0)</f>
        <v>1041.8935281961262</v>
      </c>
      <c r="C64" s="65">
        <f t="shared" ca="1" si="0"/>
        <v>1041.8935281961262</v>
      </c>
      <c r="D64" s="65">
        <f t="shared" ca="1" si="1"/>
        <v>1041.8935281961262</v>
      </c>
      <c r="E64" s="65">
        <f>_xlfn.XLOOKUP(A64,M_Nodes!A:A,M_Nodes!E:E,0)</f>
        <v>0</v>
      </c>
      <c r="F64" s="65">
        <f>_xlfn.XLOOKUP(A64,M_Nodes!A:A,M_Nodes!F:F,0)</f>
        <v>0</v>
      </c>
      <c r="G64" s="65">
        <f>_xlfn.XLOOKUP(A64,M_Nodes!A:A,M_Nodes!G:G,0)</f>
        <v>0</v>
      </c>
      <c r="H64" s="66" t="str" cm="1">
        <f t="array" aca="1" ref="H64" ca="1">IF(SUM(B64:G64)=0,"",TRIM(_xlfn.TEXTJOIN(CHAR(9),TRUE,"mass",A64, TEXT(ROUND(B64:G64,1),"0.0"))))</f>
        <v>mass	56	1041.9	1041.9	1041.9	0.0	0.0	0.0</v>
      </c>
      <c r="M64" s="25"/>
    </row>
    <row r="65" spans="1:13" x14ac:dyDescent="0.3">
      <c r="A65" s="66">
        <v>57</v>
      </c>
      <c r="B65" s="65">
        <f>_xlfn.XLOOKUP(A65,M_Nodes!A:A,M_Nodes!B:B,0)+_xlfn.XLOOKUP(A65,M_Roof!A:A,M_Roof!E:E,0)+_xlfn.XLOOKUP('TCL_Nodal masses'!A65,'M_Filling material'!D:D,'M_Filling material'!R:R,0)+_xlfn.XLOOKUP('TCL_Nodal masses'!A65,'M_Filling material'!E:E,'M_Filling material'!R:R,0)+_xlfn.XLOOKUP('TCL_Nodal masses'!A65,'M_Filling material'!F:F,'M_Filling material'!R:R,0)+_xlfn.XLOOKUP('TCL_Nodal masses'!A65,'M_Filling material'!G:G,'M_Filling material'!R:R,0)+_xlfn.XLOOKUP(A65,M_Floor!C:C,M_Floor!S:S,0)+_xlfn.XLOOKUP(A65,M_Floor!D:D,M_Floor!S:S,0)+_xlfn.XLOOKUP(A65,M_Floor!E:E,M_Floor!S:S,0)+_xlfn.XLOOKUP(A65,M_Floor!F:F,M_Floor!S:S,0)</f>
        <v>0</v>
      </c>
      <c r="C65" s="65">
        <f t="shared" si="0"/>
        <v>0</v>
      </c>
      <c r="D65" s="65">
        <f t="shared" si="1"/>
        <v>0</v>
      </c>
      <c r="E65" s="65">
        <f>_xlfn.XLOOKUP(A65,M_Nodes!A:A,M_Nodes!E:E,0)</f>
        <v>0</v>
      </c>
      <c r="F65" s="65">
        <f>_xlfn.XLOOKUP(A65,M_Nodes!A:A,M_Nodes!F:F,0)</f>
        <v>0</v>
      </c>
      <c r="G65" s="65">
        <f>_xlfn.XLOOKUP(A65,M_Nodes!A:A,M_Nodes!G:G,0)</f>
        <v>0</v>
      </c>
      <c r="H65" s="66" t="str" cm="1">
        <f t="array" ref="H65">IF(SUM(B65:G65)=0,"",TRIM(_xlfn.TEXTJOIN(CHAR(9),TRUE,"mass",A65, TEXT(ROUND(B65:G65,1),"0.0"))))</f>
        <v/>
      </c>
      <c r="M65" s="25"/>
    </row>
    <row r="66" spans="1:13" x14ac:dyDescent="0.3">
      <c r="A66" s="66">
        <v>58</v>
      </c>
      <c r="B66" s="65">
        <f ca="1">_xlfn.XLOOKUP(A66,M_Nodes!A:A,M_Nodes!B:B,0)+_xlfn.XLOOKUP(A66,M_Roof!A:A,M_Roof!E:E,0)+_xlfn.XLOOKUP('TCL_Nodal masses'!A66,'M_Filling material'!D:D,'M_Filling material'!R:R,0)+_xlfn.XLOOKUP('TCL_Nodal masses'!A66,'M_Filling material'!E:E,'M_Filling material'!R:R,0)+_xlfn.XLOOKUP('TCL_Nodal masses'!A66,'M_Filling material'!F:F,'M_Filling material'!R:R,0)+_xlfn.XLOOKUP('TCL_Nodal masses'!A66,'M_Filling material'!G:G,'M_Filling material'!R:R,0)+_xlfn.XLOOKUP(A66,M_Floor!C:C,M_Floor!S:S,0)+_xlfn.XLOOKUP(A66,M_Floor!D:D,M_Floor!S:S,0)+_xlfn.XLOOKUP(A66,M_Floor!E:E,M_Floor!S:S,0)+_xlfn.XLOOKUP(A66,M_Floor!F:F,M_Floor!S:S,0)</f>
        <v>2568.6593218283961</v>
      </c>
      <c r="C66" s="65">
        <f t="shared" ca="1" si="0"/>
        <v>2568.6593218283961</v>
      </c>
      <c r="D66" s="65">
        <f t="shared" ca="1" si="1"/>
        <v>2568.6593218283961</v>
      </c>
      <c r="E66" s="65">
        <f>_xlfn.XLOOKUP(A66,M_Nodes!A:A,M_Nodes!E:E,0)</f>
        <v>2061.6999999999998</v>
      </c>
      <c r="F66" s="65">
        <f>_xlfn.XLOOKUP(A66,M_Nodes!A:A,M_Nodes!F:F,0)</f>
        <v>155</v>
      </c>
      <c r="G66" s="65">
        <f>_xlfn.XLOOKUP(A66,M_Nodes!A:A,M_Nodes!G:G,0)</f>
        <v>1906.7</v>
      </c>
      <c r="H66" s="66" t="str" cm="1">
        <f t="array" aca="1" ref="H66" ca="1">IF(SUM(B66:G66)=0,"",TRIM(_xlfn.TEXTJOIN(CHAR(9),TRUE,"mass",A66, TEXT(ROUND(B66:G66,1),"0.0"))))</f>
        <v>mass	58	2568.7	2568.7	2568.7	2061.7	155.0	1906.7</v>
      </c>
      <c r="M66" s="25"/>
    </row>
    <row r="67" spans="1:13" x14ac:dyDescent="0.3">
      <c r="A67" s="66">
        <v>59</v>
      </c>
      <c r="B67" s="65">
        <f>_xlfn.XLOOKUP(A67,M_Nodes!A:A,M_Nodes!B:B,0)+_xlfn.XLOOKUP(A67,M_Roof!A:A,M_Roof!E:E,0)+_xlfn.XLOOKUP('TCL_Nodal masses'!A67,'M_Filling material'!D:D,'M_Filling material'!R:R,0)+_xlfn.XLOOKUP('TCL_Nodal masses'!A67,'M_Filling material'!E:E,'M_Filling material'!R:R,0)+_xlfn.XLOOKUP('TCL_Nodal masses'!A67,'M_Filling material'!F:F,'M_Filling material'!R:R,0)+_xlfn.XLOOKUP('TCL_Nodal masses'!A67,'M_Filling material'!G:G,'M_Filling material'!R:R,0)+_xlfn.XLOOKUP(A67,M_Floor!C:C,M_Floor!S:S,0)+_xlfn.XLOOKUP(A67,M_Floor!D:D,M_Floor!S:S,0)+_xlfn.XLOOKUP(A67,M_Floor!E:E,M_Floor!S:S,0)+_xlfn.XLOOKUP(A67,M_Floor!F:F,M_Floor!S:S,0)</f>
        <v>505.1</v>
      </c>
      <c r="C67" s="65">
        <f t="shared" si="0"/>
        <v>505.1</v>
      </c>
      <c r="D67" s="65">
        <f t="shared" si="1"/>
        <v>505.1</v>
      </c>
      <c r="E67" s="65">
        <f>_xlfn.XLOOKUP(A67,M_Nodes!A:A,M_Nodes!E:E,0)</f>
        <v>214</v>
      </c>
      <c r="F67" s="65">
        <f>_xlfn.XLOOKUP(A67,M_Nodes!A:A,M_Nodes!F:F,0)</f>
        <v>167</v>
      </c>
      <c r="G67" s="65">
        <f>_xlfn.XLOOKUP(A67,M_Nodes!A:A,M_Nodes!G:G,0)</f>
        <v>47</v>
      </c>
      <c r="H67" s="66" t="str" cm="1">
        <f t="array" ref="H67">IF(SUM(B67:G67)=0,"",TRIM(_xlfn.TEXTJOIN(CHAR(9),TRUE,"mass",A67, TEXT(ROUND(B67:G67,1),"0.0"))))</f>
        <v>mass	59	505.1	505.1	505.1	214.0	167.0	47.0</v>
      </c>
      <c r="M67" s="25"/>
    </row>
    <row r="68" spans="1:13" x14ac:dyDescent="0.3">
      <c r="A68" s="66">
        <v>60</v>
      </c>
      <c r="B68" s="65">
        <f>_xlfn.XLOOKUP(A68,M_Nodes!A:A,M_Nodes!B:B,0)+_xlfn.XLOOKUP(A68,M_Roof!A:A,M_Roof!E:E,0)+_xlfn.XLOOKUP('TCL_Nodal masses'!A68,'M_Filling material'!D:D,'M_Filling material'!R:R,0)+_xlfn.XLOOKUP('TCL_Nodal masses'!A68,'M_Filling material'!E:E,'M_Filling material'!R:R,0)+_xlfn.XLOOKUP('TCL_Nodal masses'!A68,'M_Filling material'!F:F,'M_Filling material'!R:R,0)+_xlfn.XLOOKUP('TCL_Nodal masses'!A68,'M_Filling material'!G:G,'M_Filling material'!R:R,0)+_xlfn.XLOOKUP(A68,M_Floor!C:C,M_Floor!S:S,0)+_xlfn.XLOOKUP(A68,M_Floor!D:D,M_Floor!S:S,0)+_xlfn.XLOOKUP(A68,M_Floor!E:E,M_Floor!S:S,0)+_xlfn.XLOOKUP(A68,M_Floor!F:F,M_Floor!S:S,0)</f>
        <v>356</v>
      </c>
      <c r="C68" s="65">
        <f t="shared" si="0"/>
        <v>356</v>
      </c>
      <c r="D68" s="65">
        <f t="shared" si="1"/>
        <v>356</v>
      </c>
      <c r="E68" s="65">
        <f>_xlfn.XLOOKUP(A68,M_Nodes!A:A,M_Nodes!E:E,0)</f>
        <v>134.19999999999999</v>
      </c>
      <c r="F68" s="65">
        <f>_xlfn.XLOOKUP(A68,M_Nodes!A:A,M_Nodes!F:F,0)</f>
        <v>117.7</v>
      </c>
      <c r="G68" s="65">
        <f>_xlfn.XLOOKUP(A68,M_Nodes!A:A,M_Nodes!G:G,0)</f>
        <v>16.5</v>
      </c>
      <c r="H68" s="66" t="str" cm="1">
        <f t="array" ref="H68">IF(SUM(B68:G68)=0,"",TRIM(_xlfn.TEXTJOIN(CHAR(9),TRUE,"mass",A68, TEXT(ROUND(B68:G68,1),"0.0"))))</f>
        <v>mass	60	356.0	356.0	356.0	134.2	117.7	16.5</v>
      </c>
      <c r="M68" s="25"/>
    </row>
    <row r="69" spans="1:13" x14ac:dyDescent="0.3">
      <c r="A69" s="66">
        <v>61</v>
      </c>
      <c r="B69" s="65">
        <f ca="1">_xlfn.XLOOKUP(A69,M_Nodes!A:A,M_Nodes!B:B,0)+_xlfn.XLOOKUP(A69,M_Roof!A:A,M_Roof!E:E,0)+_xlfn.XLOOKUP('TCL_Nodal masses'!A69,'M_Filling material'!D:D,'M_Filling material'!R:R,0)+_xlfn.XLOOKUP('TCL_Nodal masses'!A69,'M_Filling material'!E:E,'M_Filling material'!R:R,0)+_xlfn.XLOOKUP('TCL_Nodal masses'!A69,'M_Filling material'!F:F,'M_Filling material'!R:R,0)+_xlfn.XLOOKUP('TCL_Nodal masses'!A69,'M_Filling material'!G:G,'M_Filling material'!R:R,0)+_xlfn.XLOOKUP(A69,M_Floor!C:C,M_Floor!S:S,0)+_xlfn.XLOOKUP(A69,M_Floor!D:D,M_Floor!S:S,0)+_xlfn.XLOOKUP(A69,M_Floor!E:E,M_Floor!S:S,0)+_xlfn.XLOOKUP(A69,M_Floor!F:F,M_Floor!S:S,0)</f>
        <v>194.64220183486242</v>
      </c>
      <c r="C69" s="65">
        <f t="shared" ca="1" si="0"/>
        <v>194.64220183486242</v>
      </c>
      <c r="D69" s="65">
        <f t="shared" ca="1" si="1"/>
        <v>194.64220183486242</v>
      </c>
      <c r="E69" s="65">
        <f>_xlfn.XLOOKUP(A69,M_Nodes!A:A,M_Nodes!E:E,0)</f>
        <v>0</v>
      </c>
      <c r="F69" s="65">
        <f>_xlfn.XLOOKUP(A69,M_Nodes!A:A,M_Nodes!F:F,0)</f>
        <v>0</v>
      </c>
      <c r="G69" s="65">
        <f>_xlfn.XLOOKUP(A69,M_Nodes!A:A,M_Nodes!G:G,0)</f>
        <v>0</v>
      </c>
      <c r="H69" s="66" t="str" cm="1">
        <f t="array" aca="1" ref="H69" ca="1">IF(SUM(B69:G69)=0,"",TRIM(_xlfn.TEXTJOIN(CHAR(9),TRUE,"mass",A69, TEXT(ROUND(B69:G69,1),"0.0"))))</f>
        <v>mass	61	194.6	194.6	194.6	0.0	0.0	0.0</v>
      </c>
      <c r="M69" s="25"/>
    </row>
    <row r="70" spans="1:13" x14ac:dyDescent="0.3">
      <c r="A70" s="66">
        <v>62</v>
      </c>
      <c r="B70" s="65">
        <f ca="1">_xlfn.XLOOKUP(A70,M_Nodes!A:A,M_Nodes!B:B,0)+_xlfn.XLOOKUP(A70,M_Roof!A:A,M_Roof!E:E,0)+_xlfn.XLOOKUP('TCL_Nodal masses'!A70,'M_Filling material'!D:D,'M_Filling material'!R:R,0)+_xlfn.XLOOKUP('TCL_Nodal masses'!A70,'M_Filling material'!E:E,'M_Filling material'!R:R,0)+_xlfn.XLOOKUP('TCL_Nodal masses'!A70,'M_Filling material'!F:F,'M_Filling material'!R:R,0)+_xlfn.XLOOKUP('TCL_Nodal masses'!A70,'M_Filling material'!G:G,'M_Filling material'!R:R,0)+_xlfn.XLOOKUP(A70,M_Floor!C:C,M_Floor!S:S,0)+_xlfn.XLOOKUP(A70,M_Floor!D:D,M_Floor!S:S,0)+_xlfn.XLOOKUP(A70,M_Floor!E:E,M_Floor!S:S,0)+_xlfn.XLOOKUP(A70,M_Floor!F:F,M_Floor!S:S,0)</f>
        <v>10483.753792774272</v>
      </c>
      <c r="C70" s="65">
        <f t="shared" ca="1" si="0"/>
        <v>10483.753792774272</v>
      </c>
      <c r="D70" s="65">
        <f t="shared" ca="1" si="1"/>
        <v>10483.753792774272</v>
      </c>
      <c r="E70" s="65">
        <f>_xlfn.XLOOKUP(A70,M_Nodes!A:A,M_Nodes!E:E,0)</f>
        <v>5248.8</v>
      </c>
      <c r="F70" s="65">
        <f>_xlfn.XLOOKUP(A70,M_Nodes!A:A,M_Nodes!F:F,0)</f>
        <v>288.60000000000002</v>
      </c>
      <c r="G70" s="65">
        <f>_xlfn.XLOOKUP(A70,M_Nodes!A:A,M_Nodes!G:G,0)</f>
        <v>4960.2</v>
      </c>
      <c r="H70" s="66" t="str" cm="1">
        <f t="array" aca="1" ref="H70" ca="1">IF(SUM(B70:G70)=0,"",TRIM(_xlfn.TEXTJOIN(CHAR(9),TRUE,"mass",A70, TEXT(ROUND(B70:G70,1),"0.0"))))</f>
        <v>mass	62	10483.8	10483.8	10483.8	5248.8	288.6	4960.2</v>
      </c>
      <c r="M70" s="25"/>
    </row>
    <row r="71" spans="1:13" x14ac:dyDescent="0.3">
      <c r="A71" s="66">
        <v>63</v>
      </c>
      <c r="B71" s="65">
        <f ca="1">_xlfn.XLOOKUP(A71,M_Nodes!A:A,M_Nodes!B:B,0)+_xlfn.XLOOKUP(A71,M_Roof!A:A,M_Roof!E:E,0)+_xlfn.XLOOKUP('TCL_Nodal masses'!A71,'M_Filling material'!D:D,'M_Filling material'!R:R,0)+_xlfn.XLOOKUP('TCL_Nodal masses'!A71,'M_Filling material'!E:E,'M_Filling material'!R:R,0)+_xlfn.XLOOKUP('TCL_Nodal masses'!A71,'M_Filling material'!F:F,'M_Filling material'!R:R,0)+_xlfn.XLOOKUP('TCL_Nodal masses'!A71,'M_Filling material'!G:G,'M_Filling material'!R:R,0)+_xlfn.XLOOKUP(A71,M_Floor!C:C,M_Floor!S:S,0)+_xlfn.XLOOKUP(A71,M_Floor!D:D,M_Floor!S:S,0)+_xlfn.XLOOKUP(A71,M_Floor!E:E,M_Floor!S:S,0)+_xlfn.XLOOKUP(A71,M_Floor!F:F,M_Floor!S:S,0)</f>
        <v>7240.7537927742724</v>
      </c>
      <c r="C71" s="65">
        <f t="shared" ca="1" si="0"/>
        <v>7240.7537927742724</v>
      </c>
      <c r="D71" s="65">
        <f t="shared" ca="1" si="1"/>
        <v>7240.7537927742724</v>
      </c>
      <c r="E71" s="65">
        <f>_xlfn.XLOOKUP(A71,M_Nodes!A:A,M_Nodes!E:E,0)</f>
        <v>82.4</v>
      </c>
      <c r="F71" s="65">
        <f>_xlfn.XLOOKUP(A71,M_Nodes!A:A,M_Nodes!F:F,0)</f>
        <v>29</v>
      </c>
      <c r="G71" s="65">
        <f>_xlfn.XLOOKUP(A71,M_Nodes!A:A,M_Nodes!G:G,0)</f>
        <v>53.4</v>
      </c>
      <c r="H71" s="66" t="str" cm="1">
        <f t="array" aca="1" ref="H71" ca="1">IF(SUM(B71:G71)=0,"",TRIM(_xlfn.TEXTJOIN(CHAR(9),TRUE,"mass",A71, TEXT(ROUND(B71:G71,1),"0.0"))))</f>
        <v>mass	63	7240.8	7240.8	7240.8	82.4	29.0	53.4</v>
      </c>
      <c r="M71" s="25"/>
    </row>
    <row r="72" spans="1:13" x14ac:dyDescent="0.3">
      <c r="A72" s="66">
        <v>64</v>
      </c>
      <c r="B72" s="65">
        <f>_xlfn.XLOOKUP(A72,M_Nodes!A:A,M_Nodes!B:B,0)+_xlfn.XLOOKUP(A72,M_Roof!A:A,M_Roof!E:E,0)+_xlfn.XLOOKUP('TCL_Nodal masses'!A72,'M_Filling material'!D:D,'M_Filling material'!R:R,0)+_xlfn.XLOOKUP('TCL_Nodal masses'!A72,'M_Filling material'!E:E,'M_Filling material'!R:R,0)+_xlfn.XLOOKUP('TCL_Nodal masses'!A72,'M_Filling material'!F:F,'M_Filling material'!R:R,0)+_xlfn.XLOOKUP('TCL_Nodal masses'!A72,'M_Filling material'!G:G,'M_Filling material'!R:R,0)+_xlfn.XLOOKUP(A72,M_Floor!C:C,M_Floor!S:S,0)+_xlfn.XLOOKUP(A72,M_Floor!D:D,M_Floor!S:S,0)+_xlfn.XLOOKUP(A72,M_Floor!E:E,M_Floor!S:S,0)+_xlfn.XLOOKUP(A72,M_Floor!F:F,M_Floor!S:S,0)</f>
        <v>367.6</v>
      </c>
      <c r="C72" s="65">
        <f t="shared" si="0"/>
        <v>367.6</v>
      </c>
      <c r="D72" s="65">
        <f t="shared" si="1"/>
        <v>367.6</v>
      </c>
      <c r="E72" s="65">
        <f>_xlfn.XLOOKUP(A72,M_Nodes!A:A,M_Nodes!E:E,0)</f>
        <v>35.6</v>
      </c>
      <c r="F72" s="65">
        <f>_xlfn.XLOOKUP(A72,M_Nodes!A:A,M_Nodes!F:F,0)</f>
        <v>18.600000000000001</v>
      </c>
      <c r="G72" s="65">
        <f>_xlfn.XLOOKUP(A72,M_Nodes!A:A,M_Nodes!G:G,0)</f>
        <v>17</v>
      </c>
      <c r="H72" s="66" t="str" cm="1">
        <f t="array" ref="H72">IF(SUM(B72:G72)=0,"",TRIM(_xlfn.TEXTJOIN(CHAR(9),TRUE,"mass",A72, TEXT(ROUND(B72:G72,1),"0.0"))))</f>
        <v>mass	64	367.6	367.6	367.6	35.6	18.6	17.0</v>
      </c>
      <c r="M72" s="25"/>
    </row>
    <row r="73" spans="1:13" x14ac:dyDescent="0.3">
      <c r="A73" s="66">
        <v>65</v>
      </c>
      <c r="B73" s="65">
        <f>_xlfn.XLOOKUP(A73,M_Nodes!A:A,M_Nodes!B:B,0)+_xlfn.XLOOKUP(A73,M_Roof!A:A,M_Roof!E:E,0)+_xlfn.XLOOKUP('TCL_Nodal masses'!A73,'M_Filling material'!D:D,'M_Filling material'!R:R,0)+_xlfn.XLOOKUP('TCL_Nodal masses'!A73,'M_Filling material'!E:E,'M_Filling material'!R:R,0)+_xlfn.XLOOKUP('TCL_Nodal masses'!A73,'M_Filling material'!F:F,'M_Filling material'!R:R,0)+_xlfn.XLOOKUP('TCL_Nodal masses'!A73,'M_Filling material'!G:G,'M_Filling material'!R:R,0)+_xlfn.XLOOKUP(A73,M_Floor!C:C,M_Floor!S:S,0)+_xlfn.XLOOKUP(A73,M_Floor!D:D,M_Floor!S:S,0)+_xlfn.XLOOKUP(A73,M_Floor!E:E,M_Floor!S:S,0)+_xlfn.XLOOKUP(A73,M_Floor!F:F,M_Floor!S:S,0)</f>
        <v>0</v>
      </c>
      <c r="C73" s="65">
        <f t="shared" si="0"/>
        <v>0</v>
      </c>
      <c r="D73" s="65">
        <f t="shared" si="1"/>
        <v>0</v>
      </c>
      <c r="E73" s="65">
        <f>_xlfn.XLOOKUP(A73,M_Nodes!A:A,M_Nodes!E:E,0)</f>
        <v>0</v>
      </c>
      <c r="F73" s="65">
        <f>_xlfn.XLOOKUP(A73,M_Nodes!A:A,M_Nodes!F:F,0)</f>
        <v>0</v>
      </c>
      <c r="G73" s="65">
        <f>_xlfn.XLOOKUP(A73,M_Nodes!A:A,M_Nodes!G:G,0)</f>
        <v>0</v>
      </c>
      <c r="H73" s="66" t="str" cm="1">
        <f t="array" ref="H73">IF(SUM(B73:G73)=0,"",TRIM(_xlfn.TEXTJOIN(CHAR(9),TRUE,"mass",A73, TEXT(ROUND(B73:G73,1),"0.0"))))</f>
        <v/>
      </c>
      <c r="M73" s="25"/>
    </row>
    <row r="74" spans="1:13" x14ac:dyDescent="0.3">
      <c r="A74" s="66">
        <v>66</v>
      </c>
      <c r="B74" s="65">
        <f>_xlfn.XLOOKUP(A74,M_Nodes!A:A,M_Nodes!B:B,0)+_xlfn.XLOOKUP(A74,M_Roof!A:A,M_Roof!E:E,0)+_xlfn.XLOOKUP('TCL_Nodal masses'!A74,'M_Filling material'!D:D,'M_Filling material'!R:R,0)+_xlfn.XLOOKUP('TCL_Nodal masses'!A74,'M_Filling material'!E:E,'M_Filling material'!R:R,0)+_xlfn.XLOOKUP('TCL_Nodal masses'!A74,'M_Filling material'!F:F,'M_Filling material'!R:R,0)+_xlfn.XLOOKUP('TCL_Nodal masses'!A74,'M_Filling material'!G:G,'M_Filling material'!R:R,0)+_xlfn.XLOOKUP(A74,M_Floor!C:C,M_Floor!S:S,0)+_xlfn.XLOOKUP(A74,M_Floor!D:D,M_Floor!S:S,0)+_xlfn.XLOOKUP(A74,M_Floor!E:E,M_Floor!S:S,0)+_xlfn.XLOOKUP(A74,M_Floor!F:F,M_Floor!S:S,0)</f>
        <v>2298.1999999999998</v>
      </c>
      <c r="C74" s="65">
        <f t="shared" ref="C74:C109" si="2">B74</f>
        <v>2298.1999999999998</v>
      </c>
      <c r="D74" s="65">
        <f t="shared" ref="D74:D109" si="3">B74</f>
        <v>2298.1999999999998</v>
      </c>
      <c r="E74" s="65">
        <f>_xlfn.XLOOKUP(A74,M_Nodes!A:A,M_Nodes!E:E,0)</f>
        <v>3354.5</v>
      </c>
      <c r="F74" s="65">
        <f>_xlfn.XLOOKUP(A74,M_Nodes!A:A,M_Nodes!F:F,0)</f>
        <v>367.7</v>
      </c>
      <c r="G74" s="65">
        <f>_xlfn.XLOOKUP(A74,M_Nodes!A:A,M_Nodes!G:G,0)</f>
        <v>2986.8</v>
      </c>
      <c r="H74" s="66" t="str" cm="1">
        <f t="array" ref="H74">IF(SUM(B74:G74)=0,"",TRIM(_xlfn.TEXTJOIN(CHAR(9),TRUE,"mass",A74, TEXT(ROUND(B74:G74,1),"0.0"))))</f>
        <v>mass	66	2298.2	2298.2	2298.2	3354.5	367.7	2986.8</v>
      </c>
      <c r="M74" s="25"/>
    </row>
    <row r="75" spans="1:13" x14ac:dyDescent="0.3">
      <c r="A75" s="66">
        <v>67</v>
      </c>
      <c r="B75" s="65">
        <f>_xlfn.XLOOKUP(A75,M_Nodes!A:A,M_Nodes!B:B,0)+_xlfn.XLOOKUP(A75,M_Roof!A:A,M_Roof!E:E,0)+_xlfn.XLOOKUP('TCL_Nodal masses'!A75,'M_Filling material'!D:D,'M_Filling material'!R:R,0)+_xlfn.XLOOKUP('TCL_Nodal masses'!A75,'M_Filling material'!E:E,'M_Filling material'!R:R,0)+_xlfn.XLOOKUP('TCL_Nodal masses'!A75,'M_Filling material'!F:F,'M_Filling material'!R:R,0)+_xlfn.XLOOKUP('TCL_Nodal masses'!A75,'M_Filling material'!G:G,'M_Filling material'!R:R,0)+_xlfn.XLOOKUP(A75,M_Floor!C:C,M_Floor!S:S,0)+_xlfn.XLOOKUP(A75,M_Floor!D:D,M_Floor!S:S,0)+_xlfn.XLOOKUP(A75,M_Floor!E:E,M_Floor!S:S,0)+_xlfn.XLOOKUP(A75,M_Floor!F:F,M_Floor!S:S,0)</f>
        <v>0</v>
      </c>
      <c r="C75" s="65">
        <f t="shared" si="2"/>
        <v>0</v>
      </c>
      <c r="D75" s="65">
        <f t="shared" si="3"/>
        <v>0</v>
      </c>
      <c r="E75" s="65">
        <f>_xlfn.XLOOKUP(A75,M_Nodes!A:A,M_Nodes!E:E,0)</f>
        <v>0</v>
      </c>
      <c r="F75" s="65">
        <f>_xlfn.XLOOKUP(A75,M_Nodes!A:A,M_Nodes!F:F,0)</f>
        <v>0</v>
      </c>
      <c r="G75" s="65">
        <f>_xlfn.XLOOKUP(A75,M_Nodes!A:A,M_Nodes!G:G,0)</f>
        <v>0</v>
      </c>
      <c r="H75" s="66" t="str" cm="1">
        <f t="array" ref="H75">IF(SUM(B75:G75)=0,"",TRIM(_xlfn.TEXTJOIN(CHAR(9),TRUE,"mass",A75, TEXT(ROUND(B75:G75,1),"0.0"))))</f>
        <v/>
      </c>
      <c r="M75" s="25"/>
    </row>
    <row r="76" spans="1:13" x14ac:dyDescent="0.3">
      <c r="A76" s="66">
        <v>68</v>
      </c>
      <c r="B76" s="65">
        <f>_xlfn.XLOOKUP(A76,M_Nodes!A:A,M_Nodes!B:B,0)+_xlfn.XLOOKUP(A76,M_Roof!A:A,M_Roof!E:E,0)+_xlfn.XLOOKUP('TCL_Nodal masses'!A76,'M_Filling material'!D:D,'M_Filling material'!R:R,0)+_xlfn.XLOOKUP('TCL_Nodal masses'!A76,'M_Filling material'!E:E,'M_Filling material'!R:R,0)+_xlfn.XLOOKUP('TCL_Nodal masses'!A76,'M_Filling material'!F:F,'M_Filling material'!R:R,0)+_xlfn.XLOOKUP('TCL_Nodal masses'!A76,'M_Filling material'!G:G,'M_Filling material'!R:R,0)+_xlfn.XLOOKUP(A76,M_Floor!C:C,M_Floor!S:S,0)+_xlfn.XLOOKUP(A76,M_Floor!D:D,M_Floor!S:S,0)+_xlfn.XLOOKUP(A76,M_Floor!E:E,M_Floor!S:S,0)+_xlfn.XLOOKUP(A76,M_Floor!F:F,M_Floor!S:S,0)</f>
        <v>0</v>
      </c>
      <c r="C76" s="65">
        <f t="shared" si="2"/>
        <v>0</v>
      </c>
      <c r="D76" s="65">
        <f t="shared" si="3"/>
        <v>0</v>
      </c>
      <c r="E76" s="65">
        <f>_xlfn.XLOOKUP(A76,M_Nodes!A:A,M_Nodes!E:E,0)</f>
        <v>0</v>
      </c>
      <c r="F76" s="65">
        <f>_xlfn.XLOOKUP(A76,M_Nodes!A:A,M_Nodes!F:F,0)</f>
        <v>0</v>
      </c>
      <c r="G76" s="65">
        <f>_xlfn.XLOOKUP(A76,M_Nodes!A:A,M_Nodes!G:G,0)</f>
        <v>0</v>
      </c>
      <c r="H76" s="66" t="str" cm="1">
        <f t="array" ref="H76">IF(SUM(B76:G76)=0,"",TRIM(_xlfn.TEXTJOIN(CHAR(9),TRUE,"mass",A76, TEXT(ROUND(B76:G76,1),"0.0"))))</f>
        <v/>
      </c>
      <c r="M76" s="25"/>
    </row>
    <row r="77" spans="1:13" x14ac:dyDescent="0.3">
      <c r="A77" s="66">
        <v>69</v>
      </c>
      <c r="B77" s="65">
        <f>_xlfn.XLOOKUP(A77,M_Nodes!A:A,M_Nodes!B:B,0)+_xlfn.XLOOKUP(A77,M_Roof!A:A,M_Roof!E:E,0)+_xlfn.XLOOKUP('TCL_Nodal masses'!A77,'M_Filling material'!D:D,'M_Filling material'!R:R,0)+_xlfn.XLOOKUP('TCL_Nodal masses'!A77,'M_Filling material'!E:E,'M_Filling material'!R:R,0)+_xlfn.XLOOKUP('TCL_Nodal masses'!A77,'M_Filling material'!F:F,'M_Filling material'!R:R,0)+_xlfn.XLOOKUP('TCL_Nodal masses'!A77,'M_Filling material'!G:G,'M_Filling material'!R:R,0)+_xlfn.XLOOKUP(A77,M_Floor!C:C,M_Floor!S:S,0)+_xlfn.XLOOKUP(A77,M_Floor!D:D,M_Floor!S:S,0)+_xlfn.XLOOKUP(A77,M_Floor!E:E,M_Floor!S:S,0)+_xlfn.XLOOKUP(A77,M_Floor!F:F,M_Floor!S:S,0)</f>
        <v>0</v>
      </c>
      <c r="C77" s="65">
        <f t="shared" si="2"/>
        <v>0</v>
      </c>
      <c r="D77" s="65">
        <f t="shared" si="3"/>
        <v>0</v>
      </c>
      <c r="E77" s="65">
        <f>_xlfn.XLOOKUP(A77,M_Nodes!A:A,M_Nodes!E:E,0)</f>
        <v>0</v>
      </c>
      <c r="F77" s="65">
        <f>_xlfn.XLOOKUP(A77,M_Nodes!A:A,M_Nodes!F:F,0)</f>
        <v>0</v>
      </c>
      <c r="G77" s="65">
        <f>_xlfn.XLOOKUP(A77,M_Nodes!A:A,M_Nodes!G:G,0)</f>
        <v>0</v>
      </c>
      <c r="H77" s="66" t="str" cm="1">
        <f t="array" ref="H77">IF(SUM(B77:G77)=0,"",TRIM(_xlfn.TEXTJOIN(CHAR(9),TRUE,"mass",A77, TEXT(ROUND(B77:G77,1),"0.0"))))</f>
        <v/>
      </c>
      <c r="M77" s="25"/>
    </row>
    <row r="78" spans="1:13" x14ac:dyDescent="0.3">
      <c r="A78" s="66">
        <v>70</v>
      </c>
      <c r="B78" s="65">
        <f ca="1">_xlfn.XLOOKUP(A78,M_Nodes!A:A,M_Nodes!B:B,0)+_xlfn.XLOOKUP(A78,M_Roof!A:A,M_Roof!E:E,0)+_xlfn.XLOOKUP('TCL_Nodal masses'!A78,'M_Filling material'!D:D,'M_Filling material'!R:R,0)+_xlfn.XLOOKUP('TCL_Nodal masses'!A78,'M_Filling material'!E:E,'M_Filling material'!R:R,0)+_xlfn.XLOOKUP('TCL_Nodal masses'!A78,'M_Filling material'!F:F,'M_Filling material'!R:R,0)+_xlfn.XLOOKUP('TCL_Nodal masses'!A78,'M_Filling material'!G:G,'M_Filling material'!R:R,0)+_xlfn.XLOOKUP(A78,M_Floor!C:C,M_Floor!S:S,0)+_xlfn.XLOOKUP(A78,M_Floor!D:D,M_Floor!S:S,0)+_xlfn.XLOOKUP(A78,M_Floor!E:E,M_Floor!S:S,0)+_xlfn.XLOOKUP(A78,M_Floor!F:F,M_Floor!S:S,0)</f>
        <v>5312.3276758409775</v>
      </c>
      <c r="C78" s="65">
        <f t="shared" ca="1" si="2"/>
        <v>5312.3276758409775</v>
      </c>
      <c r="D78" s="65">
        <f t="shared" ca="1" si="3"/>
        <v>5312.3276758409775</v>
      </c>
      <c r="E78" s="65">
        <f>_xlfn.XLOOKUP(A78,M_Nodes!A:A,M_Nodes!E:E,0)</f>
        <v>952.7</v>
      </c>
      <c r="F78" s="65">
        <f>_xlfn.XLOOKUP(A78,M_Nodes!A:A,M_Nodes!F:F,0)</f>
        <v>9676.5</v>
      </c>
      <c r="G78" s="65">
        <f>_xlfn.XLOOKUP(A78,M_Nodes!A:A,M_Nodes!G:G,0)</f>
        <v>8723.7999999999993</v>
      </c>
      <c r="H78" s="66" t="str" cm="1">
        <f t="array" aca="1" ref="H78" ca="1">IF(SUM(B78:G78)=0,"",TRIM(_xlfn.TEXTJOIN(CHAR(9),TRUE,"mass",A78, TEXT(ROUND(B78:G78,1),"0.0"))))</f>
        <v>mass	70	5312.3	5312.3	5312.3	952.7	9676.5	8723.8</v>
      </c>
      <c r="M78" s="25"/>
    </row>
    <row r="79" spans="1:13" x14ac:dyDescent="0.3">
      <c r="A79" s="66">
        <v>71</v>
      </c>
      <c r="B79" s="65">
        <f ca="1">_xlfn.XLOOKUP(A79,M_Nodes!A:A,M_Nodes!B:B,0)+_xlfn.XLOOKUP(A79,M_Roof!A:A,M_Roof!E:E,0)+_xlfn.XLOOKUP('TCL_Nodal masses'!A79,'M_Filling material'!D:D,'M_Filling material'!R:R,0)+_xlfn.XLOOKUP('TCL_Nodal masses'!A79,'M_Filling material'!E:E,'M_Filling material'!R:R,0)+_xlfn.XLOOKUP('TCL_Nodal masses'!A79,'M_Filling material'!F:F,'M_Filling material'!R:R,0)+_xlfn.XLOOKUP('TCL_Nodal masses'!A79,'M_Filling material'!G:G,'M_Filling material'!R:R,0)+_xlfn.XLOOKUP(A79,M_Floor!C:C,M_Floor!S:S,0)+_xlfn.XLOOKUP(A79,M_Floor!D:D,M_Floor!S:S,0)+_xlfn.XLOOKUP(A79,M_Floor!E:E,M_Floor!S:S,0)+_xlfn.XLOOKUP(A79,M_Floor!F:F,M_Floor!S:S,0)</f>
        <v>6401.6924566768575</v>
      </c>
      <c r="C79" s="65">
        <f t="shared" ca="1" si="2"/>
        <v>6401.6924566768575</v>
      </c>
      <c r="D79" s="65">
        <f t="shared" ca="1" si="3"/>
        <v>6401.6924566768575</v>
      </c>
      <c r="E79" s="65">
        <f>_xlfn.XLOOKUP(A79,M_Nodes!A:A,M_Nodes!E:E,0)</f>
        <v>739.1</v>
      </c>
      <c r="F79" s="65">
        <f>_xlfn.XLOOKUP(A79,M_Nodes!A:A,M_Nodes!F:F,0)</f>
        <v>4813.5</v>
      </c>
      <c r="G79" s="65">
        <f>_xlfn.XLOOKUP(A79,M_Nodes!A:A,M_Nodes!G:G,0)</f>
        <v>4074.4</v>
      </c>
      <c r="H79" s="66" t="str" cm="1">
        <f t="array" aca="1" ref="H79" ca="1">IF(SUM(B79:G79)=0,"",TRIM(_xlfn.TEXTJOIN(CHAR(9),TRUE,"mass",A79, TEXT(ROUND(B79:G79,1),"0.0"))))</f>
        <v>mass	71	6401.7	6401.7	6401.7	739.1	4813.5	4074.4</v>
      </c>
      <c r="M79" s="25"/>
    </row>
    <row r="80" spans="1:13" x14ac:dyDescent="0.3">
      <c r="A80" s="66">
        <v>72</v>
      </c>
      <c r="B80" s="65">
        <f ca="1">_xlfn.XLOOKUP(A80,M_Nodes!A:A,M_Nodes!B:B,0)+_xlfn.XLOOKUP(A80,M_Roof!A:A,M_Roof!E:E,0)+_xlfn.XLOOKUP('TCL_Nodal masses'!A80,'M_Filling material'!D:D,'M_Filling material'!R:R,0)+_xlfn.XLOOKUP('TCL_Nodal masses'!A80,'M_Filling material'!E:E,'M_Filling material'!R:R,0)+_xlfn.XLOOKUP('TCL_Nodal masses'!A80,'M_Filling material'!F:F,'M_Filling material'!R:R,0)+_xlfn.XLOOKUP('TCL_Nodal masses'!A80,'M_Filling material'!G:G,'M_Filling material'!R:R,0)+_xlfn.XLOOKUP(A80,M_Floor!C:C,M_Floor!S:S,0)+_xlfn.XLOOKUP(A80,M_Floor!D:D,M_Floor!S:S,0)+_xlfn.XLOOKUP(A80,M_Floor!E:E,M_Floor!S:S,0)+_xlfn.XLOOKUP(A80,M_Floor!F:F,M_Floor!S:S,0)</f>
        <v>4431.0664627930664</v>
      </c>
      <c r="C80" s="65">
        <f t="shared" ca="1" si="2"/>
        <v>4431.0664627930664</v>
      </c>
      <c r="D80" s="65">
        <f t="shared" ca="1" si="3"/>
        <v>4431.0664627930664</v>
      </c>
      <c r="E80" s="65">
        <f>_xlfn.XLOOKUP(A80,M_Nodes!A:A,M_Nodes!E:E,0)</f>
        <v>141.4</v>
      </c>
      <c r="F80" s="65">
        <f>_xlfn.XLOOKUP(A80,M_Nodes!A:A,M_Nodes!F:F,0)</f>
        <v>1589.1</v>
      </c>
      <c r="G80" s="65">
        <f>_xlfn.XLOOKUP(A80,M_Nodes!A:A,M_Nodes!G:G,0)</f>
        <v>1447.7</v>
      </c>
      <c r="H80" s="66" t="str" cm="1">
        <f t="array" aca="1" ref="H80" ca="1">IF(SUM(B80:G80)=0,"",TRIM(_xlfn.TEXTJOIN(CHAR(9),TRUE,"mass",A80, TEXT(ROUND(B80:G80,1),"0.0"))))</f>
        <v>mass	72	4431.1	4431.1	4431.1	141.4	1589.1	1447.7</v>
      </c>
      <c r="M80" s="25"/>
    </row>
    <row r="81" spans="1:13" x14ac:dyDescent="0.3">
      <c r="A81" s="66">
        <v>73</v>
      </c>
      <c r="B81" s="65">
        <f ca="1">_xlfn.XLOOKUP(A81,M_Nodes!A:A,M_Nodes!B:B,0)+_xlfn.XLOOKUP(A81,M_Roof!A:A,M_Roof!E:E,0)+_xlfn.XLOOKUP('TCL_Nodal masses'!A81,'M_Filling material'!D:D,'M_Filling material'!R:R,0)+_xlfn.XLOOKUP('TCL_Nodal masses'!A81,'M_Filling material'!E:E,'M_Filling material'!R:R,0)+_xlfn.XLOOKUP('TCL_Nodal masses'!A81,'M_Filling material'!F:F,'M_Filling material'!R:R,0)+_xlfn.XLOOKUP('TCL_Nodal masses'!A81,'M_Filling material'!G:G,'M_Filling material'!R:R,0)+_xlfn.XLOOKUP(A81,M_Floor!C:C,M_Floor!S:S,0)+_xlfn.XLOOKUP(A81,M_Floor!D:D,M_Floor!S:S,0)+_xlfn.XLOOKUP(A81,M_Floor!E:E,M_Floor!S:S,0)+_xlfn.XLOOKUP(A81,M_Floor!F:F,M_Floor!S:S,0)</f>
        <v>3488.6721029957125</v>
      </c>
      <c r="C81" s="65">
        <f t="shared" ca="1" si="2"/>
        <v>3488.6721029957125</v>
      </c>
      <c r="D81" s="65">
        <f t="shared" ca="1" si="3"/>
        <v>3488.6721029957125</v>
      </c>
      <c r="E81" s="65">
        <f>_xlfn.XLOOKUP(A81,M_Nodes!A:A,M_Nodes!E:E,0)</f>
        <v>120.5</v>
      </c>
      <c r="F81" s="65">
        <f>_xlfn.XLOOKUP(A81,M_Nodes!A:A,M_Nodes!F:F,0)</f>
        <v>7327.2</v>
      </c>
      <c r="G81" s="65">
        <f>_xlfn.XLOOKUP(A81,M_Nodes!A:A,M_Nodes!G:G,0)</f>
        <v>7206.7</v>
      </c>
      <c r="H81" s="66" t="str" cm="1">
        <f t="array" aca="1" ref="H81" ca="1">IF(SUM(B81:G81)=0,"",TRIM(_xlfn.TEXTJOIN(CHAR(9),TRUE,"mass",A81, TEXT(ROUND(B81:G81,1),"0.0"))))</f>
        <v>mass	73	3488.7	3488.7	3488.7	120.5	7327.2	7206.7</v>
      </c>
      <c r="M81" s="25"/>
    </row>
    <row r="82" spans="1:13" x14ac:dyDescent="0.3">
      <c r="A82" s="66">
        <v>74</v>
      </c>
      <c r="B82" s="65">
        <f ca="1">_xlfn.XLOOKUP(A82,M_Nodes!A:A,M_Nodes!B:B,0)+_xlfn.XLOOKUP(A82,M_Roof!A:A,M_Roof!E:E,0)+_xlfn.XLOOKUP('TCL_Nodal masses'!A82,'M_Filling material'!D:D,'M_Filling material'!R:R,0)+_xlfn.XLOOKUP('TCL_Nodal masses'!A82,'M_Filling material'!E:E,'M_Filling material'!R:R,0)+_xlfn.XLOOKUP('TCL_Nodal masses'!A82,'M_Filling material'!F:F,'M_Filling material'!R:R,0)+_xlfn.XLOOKUP('TCL_Nodal masses'!A82,'M_Filling material'!G:G,'M_Filling material'!R:R,0)+_xlfn.XLOOKUP(A82,M_Floor!C:C,M_Floor!S:S,0)+_xlfn.XLOOKUP(A82,M_Floor!D:D,M_Floor!S:S,0)+_xlfn.XLOOKUP(A82,M_Floor!E:E,M_Floor!S:S,0)+_xlfn.XLOOKUP(A82,M_Floor!F:F,M_Floor!S:S,0)</f>
        <v>9065.8412989472708</v>
      </c>
      <c r="C82" s="65">
        <f t="shared" ca="1" si="2"/>
        <v>9065.8412989472708</v>
      </c>
      <c r="D82" s="65">
        <f t="shared" ca="1" si="3"/>
        <v>9065.8412989472708</v>
      </c>
      <c r="E82" s="65">
        <f>_xlfn.XLOOKUP(A82,M_Nodes!A:A,M_Nodes!E:E,0)</f>
        <v>128.6</v>
      </c>
      <c r="F82" s="65">
        <f>_xlfn.XLOOKUP(A82,M_Nodes!A:A,M_Nodes!F:F,0)</f>
        <v>4756.5</v>
      </c>
      <c r="G82" s="65">
        <f>_xlfn.XLOOKUP(A82,M_Nodes!A:A,M_Nodes!G:G,0)</f>
        <v>4628</v>
      </c>
      <c r="H82" s="66" t="str" cm="1">
        <f t="array" aca="1" ref="H82" ca="1">IF(SUM(B82:G82)=0,"",TRIM(_xlfn.TEXTJOIN(CHAR(9),TRUE,"mass",A82, TEXT(ROUND(B82:G82,1),"0.0"))))</f>
        <v>mass	74	9065.8	9065.8	9065.8	128.6	4756.5	4628.0</v>
      </c>
      <c r="M82" s="25"/>
    </row>
    <row r="83" spans="1:13" x14ac:dyDescent="0.3">
      <c r="A83" s="66">
        <v>75</v>
      </c>
      <c r="B83" s="65">
        <f ca="1">_xlfn.XLOOKUP(A83,M_Nodes!A:A,M_Nodes!B:B,0)+_xlfn.XLOOKUP(A83,M_Roof!A:A,M_Roof!E:E,0)+_xlfn.XLOOKUP('TCL_Nodal masses'!A83,'M_Filling material'!D:D,'M_Filling material'!R:R,0)+_xlfn.XLOOKUP('TCL_Nodal masses'!A83,'M_Filling material'!E:E,'M_Filling material'!R:R,0)+_xlfn.XLOOKUP('TCL_Nodal masses'!A83,'M_Filling material'!F:F,'M_Filling material'!R:R,0)+_xlfn.XLOOKUP('TCL_Nodal masses'!A83,'M_Filling material'!G:G,'M_Filling material'!R:R,0)+_xlfn.XLOOKUP(A83,M_Floor!C:C,M_Floor!S:S,0)+_xlfn.XLOOKUP(A83,M_Floor!D:D,M_Floor!S:S,0)+_xlfn.XLOOKUP(A83,M_Floor!E:E,M_Floor!S:S,0)+_xlfn.XLOOKUP(A83,M_Floor!F:F,M_Floor!S:S,0)</f>
        <v>10008.341298947271</v>
      </c>
      <c r="C83" s="65">
        <f t="shared" ca="1" si="2"/>
        <v>10008.341298947271</v>
      </c>
      <c r="D83" s="65">
        <f t="shared" ca="1" si="3"/>
        <v>10008.341298947271</v>
      </c>
      <c r="E83" s="65">
        <f>_xlfn.XLOOKUP(A83,M_Nodes!A:A,M_Nodes!E:E,0)</f>
        <v>263.3</v>
      </c>
      <c r="F83" s="65">
        <f>_xlfn.XLOOKUP(A83,M_Nodes!A:A,M_Nodes!F:F,0)</f>
        <v>4029.4</v>
      </c>
      <c r="G83" s="65">
        <f>_xlfn.XLOOKUP(A83,M_Nodes!A:A,M_Nodes!G:G,0)</f>
        <v>3766</v>
      </c>
      <c r="H83" s="66" t="str" cm="1">
        <f t="array" aca="1" ref="H83" ca="1">IF(SUM(B83:G83)=0,"",TRIM(_xlfn.TEXTJOIN(CHAR(9),TRUE,"mass",A83, TEXT(ROUND(B83:G83,1),"0.0"))))</f>
        <v>mass	75	10008.3	10008.3	10008.3	263.3	4029.4	3766.0</v>
      </c>
      <c r="M83" s="25"/>
    </row>
    <row r="84" spans="1:13" x14ac:dyDescent="0.3">
      <c r="A84" s="66">
        <v>76</v>
      </c>
      <c r="B84" s="65">
        <f>_xlfn.XLOOKUP(A84,M_Nodes!A:A,M_Nodes!B:B,0)+_xlfn.XLOOKUP(A84,M_Roof!A:A,M_Roof!E:E,0)+_xlfn.XLOOKUP('TCL_Nodal masses'!A84,'M_Filling material'!D:D,'M_Filling material'!R:R,0)+_xlfn.XLOOKUP('TCL_Nodal masses'!A84,'M_Filling material'!E:E,'M_Filling material'!R:R,0)+_xlfn.XLOOKUP('TCL_Nodal masses'!A84,'M_Filling material'!F:F,'M_Filling material'!R:R,0)+_xlfn.XLOOKUP('TCL_Nodal masses'!A84,'M_Filling material'!G:G,'M_Filling material'!R:R,0)+_xlfn.XLOOKUP(A84,M_Floor!C:C,M_Floor!S:S,0)+_xlfn.XLOOKUP(A84,M_Floor!D:D,M_Floor!S:S,0)+_xlfn.XLOOKUP(A84,M_Floor!E:E,M_Floor!S:S,0)+_xlfn.XLOOKUP(A84,M_Floor!F:F,M_Floor!S:S,0)</f>
        <v>0</v>
      </c>
      <c r="C84" s="65">
        <f t="shared" si="2"/>
        <v>0</v>
      </c>
      <c r="D84" s="65">
        <f t="shared" si="3"/>
        <v>0</v>
      </c>
      <c r="E84" s="65">
        <f>_xlfn.XLOOKUP(A84,M_Nodes!A:A,M_Nodes!E:E,0)</f>
        <v>0</v>
      </c>
      <c r="F84" s="65">
        <f>_xlfn.XLOOKUP(A84,M_Nodes!A:A,M_Nodes!F:F,0)</f>
        <v>0</v>
      </c>
      <c r="G84" s="65">
        <f>_xlfn.XLOOKUP(A84,M_Nodes!A:A,M_Nodes!G:G,0)</f>
        <v>0</v>
      </c>
      <c r="H84" s="66" t="str" cm="1">
        <f t="array" ref="H84">IF(SUM(B84:G84)=0,"",TRIM(_xlfn.TEXTJOIN(CHAR(9),TRUE,"mass",A84, TEXT(ROUND(B84:G84,1),"0.0"))))</f>
        <v/>
      </c>
      <c r="M84" s="25"/>
    </row>
    <row r="85" spans="1:13" x14ac:dyDescent="0.3">
      <c r="A85" s="66">
        <v>77</v>
      </c>
      <c r="B85" s="65">
        <f>_xlfn.XLOOKUP(A85,M_Nodes!A:A,M_Nodes!B:B,0)+_xlfn.XLOOKUP(A85,M_Roof!A:A,M_Roof!E:E,0)+_xlfn.XLOOKUP('TCL_Nodal masses'!A85,'M_Filling material'!D:D,'M_Filling material'!R:R,0)+_xlfn.XLOOKUP('TCL_Nodal masses'!A85,'M_Filling material'!E:E,'M_Filling material'!R:R,0)+_xlfn.XLOOKUP('TCL_Nodal masses'!A85,'M_Filling material'!F:F,'M_Filling material'!R:R,0)+_xlfn.XLOOKUP('TCL_Nodal masses'!A85,'M_Filling material'!G:G,'M_Filling material'!R:R,0)+_xlfn.XLOOKUP(A85,M_Floor!C:C,M_Floor!S:S,0)+_xlfn.XLOOKUP(A85,M_Floor!D:D,M_Floor!S:S,0)+_xlfn.XLOOKUP(A85,M_Floor!E:E,M_Floor!S:S,0)+_xlfn.XLOOKUP(A85,M_Floor!F:F,M_Floor!S:S,0)</f>
        <v>0</v>
      </c>
      <c r="C85" s="65">
        <f t="shared" si="2"/>
        <v>0</v>
      </c>
      <c r="D85" s="65">
        <f t="shared" si="3"/>
        <v>0</v>
      </c>
      <c r="E85" s="65">
        <f>_xlfn.XLOOKUP(A85,M_Nodes!A:A,M_Nodes!E:E,0)</f>
        <v>0</v>
      </c>
      <c r="F85" s="65">
        <f>_xlfn.XLOOKUP(A85,M_Nodes!A:A,M_Nodes!F:F,0)</f>
        <v>0</v>
      </c>
      <c r="G85" s="65">
        <f>_xlfn.XLOOKUP(A85,M_Nodes!A:A,M_Nodes!G:G,0)</f>
        <v>0</v>
      </c>
      <c r="H85" s="66" t="str" cm="1">
        <f t="array" ref="H85">IF(SUM(B85:G85)=0,"",TRIM(_xlfn.TEXTJOIN(CHAR(9),TRUE,"mass",A85, TEXT(ROUND(B85:G85,1),"0.0"))))</f>
        <v/>
      </c>
      <c r="M85" s="25"/>
    </row>
    <row r="86" spans="1:13" x14ac:dyDescent="0.3">
      <c r="A86" s="66">
        <v>78</v>
      </c>
      <c r="B86" s="65">
        <f>_xlfn.XLOOKUP(A86,M_Nodes!A:A,M_Nodes!B:B,0)+_xlfn.XLOOKUP(A86,M_Roof!A:A,M_Roof!E:E,0)+_xlfn.XLOOKUP('TCL_Nodal masses'!A86,'M_Filling material'!D:D,'M_Filling material'!R:R,0)+_xlfn.XLOOKUP('TCL_Nodal masses'!A86,'M_Filling material'!E:E,'M_Filling material'!R:R,0)+_xlfn.XLOOKUP('TCL_Nodal masses'!A86,'M_Filling material'!F:F,'M_Filling material'!R:R,0)+_xlfn.XLOOKUP('TCL_Nodal masses'!A86,'M_Filling material'!G:G,'M_Filling material'!R:R,0)+_xlfn.XLOOKUP(A86,M_Floor!C:C,M_Floor!S:S,0)+_xlfn.XLOOKUP(A86,M_Floor!D:D,M_Floor!S:S,0)+_xlfn.XLOOKUP(A86,M_Floor!E:E,M_Floor!S:S,0)+_xlfn.XLOOKUP(A86,M_Floor!F:F,M_Floor!S:S,0)</f>
        <v>2096.6</v>
      </c>
      <c r="C86" s="65">
        <f t="shared" si="2"/>
        <v>2096.6</v>
      </c>
      <c r="D86" s="65">
        <f t="shared" si="3"/>
        <v>2096.6</v>
      </c>
      <c r="E86" s="65">
        <f>_xlfn.XLOOKUP(A86,M_Nodes!A:A,M_Nodes!E:E,0)</f>
        <v>335.5</v>
      </c>
      <c r="F86" s="65">
        <f>_xlfn.XLOOKUP(A86,M_Nodes!A:A,M_Nodes!F:F,0)</f>
        <v>2603.1999999999998</v>
      </c>
      <c r="G86" s="65">
        <f>_xlfn.XLOOKUP(A86,M_Nodes!A:A,M_Nodes!G:G,0)</f>
        <v>2267.6999999999998</v>
      </c>
      <c r="H86" s="66" t="str" cm="1">
        <f t="array" ref="H86">IF(SUM(B86:G86)=0,"",TRIM(_xlfn.TEXTJOIN(CHAR(9),TRUE,"mass",A86, TEXT(ROUND(B86:G86,1),"0.0"))))</f>
        <v>mass	78	2096.6	2096.6	2096.6	335.5	2603.2	2267.7</v>
      </c>
      <c r="M86" s="25"/>
    </row>
    <row r="87" spans="1:13" x14ac:dyDescent="0.3">
      <c r="A87" s="66">
        <v>79</v>
      </c>
      <c r="B87" s="65">
        <f>_xlfn.XLOOKUP(A87,M_Nodes!A:A,M_Nodes!B:B,0)+_xlfn.XLOOKUP(A87,M_Roof!A:A,M_Roof!E:E,0)+_xlfn.XLOOKUP('TCL_Nodal masses'!A87,'M_Filling material'!D:D,'M_Filling material'!R:R,0)+_xlfn.XLOOKUP('TCL_Nodal masses'!A87,'M_Filling material'!E:E,'M_Filling material'!R:R,0)+_xlfn.XLOOKUP('TCL_Nodal masses'!A87,'M_Filling material'!F:F,'M_Filling material'!R:R,0)+_xlfn.XLOOKUP('TCL_Nodal masses'!A87,'M_Filling material'!G:G,'M_Filling material'!R:R,0)+_xlfn.XLOOKUP(A87,M_Floor!C:C,M_Floor!S:S,0)+_xlfn.XLOOKUP(A87,M_Floor!D:D,M_Floor!S:S,0)+_xlfn.XLOOKUP(A87,M_Floor!E:E,M_Floor!S:S,0)+_xlfn.XLOOKUP(A87,M_Floor!F:F,M_Floor!S:S,0)</f>
        <v>1846.4</v>
      </c>
      <c r="C87" s="65">
        <f t="shared" si="2"/>
        <v>1846.4</v>
      </c>
      <c r="D87" s="65">
        <f t="shared" si="3"/>
        <v>1846.4</v>
      </c>
      <c r="E87" s="65">
        <f>_xlfn.XLOOKUP(A87,M_Nodes!A:A,M_Nodes!E:E,0)</f>
        <v>2906</v>
      </c>
      <c r="F87" s="65">
        <f>_xlfn.XLOOKUP(A87,M_Nodes!A:A,M_Nodes!F:F,0)</f>
        <v>610.5</v>
      </c>
      <c r="G87" s="65">
        <f>_xlfn.XLOOKUP(A87,M_Nodes!A:A,M_Nodes!G:G,0)</f>
        <v>2295.5</v>
      </c>
      <c r="H87" s="66" t="str" cm="1">
        <f t="array" ref="H87">IF(SUM(B87:G87)=0,"",TRIM(_xlfn.TEXTJOIN(CHAR(9),TRUE,"mass",A87, TEXT(ROUND(B87:G87,1),"0.0"))))</f>
        <v>mass	79	1846.4	1846.4	1846.4	2906.0	610.5	2295.5</v>
      </c>
      <c r="M87" s="25"/>
    </row>
    <row r="88" spans="1:13" x14ac:dyDescent="0.3">
      <c r="A88" s="66">
        <v>80</v>
      </c>
      <c r="B88" s="65">
        <f>_xlfn.XLOOKUP(A88,M_Nodes!A:A,M_Nodes!B:B,0)+_xlfn.XLOOKUP(A88,M_Roof!A:A,M_Roof!E:E,0)+_xlfn.XLOOKUP('TCL_Nodal masses'!A88,'M_Filling material'!D:D,'M_Filling material'!R:R,0)+_xlfn.XLOOKUP('TCL_Nodal masses'!A88,'M_Filling material'!E:E,'M_Filling material'!R:R,0)+_xlfn.XLOOKUP('TCL_Nodal masses'!A88,'M_Filling material'!F:F,'M_Filling material'!R:R,0)+_xlfn.XLOOKUP('TCL_Nodal masses'!A88,'M_Filling material'!G:G,'M_Filling material'!R:R,0)+_xlfn.XLOOKUP(A88,M_Floor!C:C,M_Floor!S:S,0)+_xlfn.XLOOKUP(A88,M_Floor!D:D,M_Floor!S:S,0)+_xlfn.XLOOKUP(A88,M_Floor!E:E,M_Floor!S:S,0)+_xlfn.XLOOKUP(A88,M_Floor!F:F,M_Floor!S:S,0)</f>
        <v>1846.4</v>
      </c>
      <c r="C88" s="65">
        <f t="shared" si="2"/>
        <v>1846.4</v>
      </c>
      <c r="D88" s="65">
        <f t="shared" si="3"/>
        <v>1846.4</v>
      </c>
      <c r="E88" s="65">
        <f>_xlfn.XLOOKUP(A88,M_Nodes!A:A,M_Nodes!E:E,0)</f>
        <v>2906</v>
      </c>
      <c r="F88" s="65">
        <f>_xlfn.XLOOKUP(A88,M_Nodes!A:A,M_Nodes!F:F,0)</f>
        <v>610.5</v>
      </c>
      <c r="G88" s="65">
        <f>_xlfn.XLOOKUP(A88,M_Nodes!A:A,M_Nodes!G:G,0)</f>
        <v>2295.5</v>
      </c>
      <c r="H88" s="66" t="str" cm="1">
        <f t="array" ref="H88">IF(SUM(B88:G88)=0,"",TRIM(_xlfn.TEXTJOIN(CHAR(9),TRUE,"mass",A88, TEXT(ROUND(B88:G88,1),"0.0"))))</f>
        <v>mass	80	1846.4	1846.4	1846.4	2906.0	610.5	2295.5</v>
      </c>
      <c r="M88" s="25"/>
    </row>
    <row r="89" spans="1:13" x14ac:dyDescent="0.3">
      <c r="A89" s="66">
        <v>81</v>
      </c>
      <c r="B89" s="65">
        <f ca="1">_xlfn.XLOOKUP(A89,M_Nodes!A:A,M_Nodes!B:B,0)+_xlfn.XLOOKUP(A89,M_Roof!A:A,M_Roof!E:E,0)+_xlfn.XLOOKUP('TCL_Nodal masses'!A89,'M_Filling material'!D:D,'M_Filling material'!R:R,0)+_xlfn.XLOOKUP('TCL_Nodal masses'!A89,'M_Filling material'!E:E,'M_Filling material'!R:R,0)+_xlfn.XLOOKUP('TCL_Nodal masses'!A89,'M_Filling material'!F:F,'M_Filling material'!R:R,0)+_xlfn.XLOOKUP('TCL_Nodal masses'!A89,'M_Filling material'!G:G,'M_Filling material'!R:R,0)+_xlfn.XLOOKUP(A89,M_Floor!C:C,M_Floor!S:S,0)+_xlfn.XLOOKUP(A89,M_Floor!D:D,M_Floor!S:S,0)+_xlfn.XLOOKUP(A89,M_Floor!E:E,M_Floor!S:S,0)+_xlfn.XLOOKUP(A89,M_Floor!F:F,M_Floor!S:S,0)</f>
        <v>2547.5143784774145</v>
      </c>
      <c r="C89" s="65">
        <f t="shared" ca="1" si="2"/>
        <v>2547.5143784774145</v>
      </c>
      <c r="D89" s="65">
        <f t="shared" ca="1" si="3"/>
        <v>2547.5143784774145</v>
      </c>
      <c r="E89" s="65">
        <f>_xlfn.XLOOKUP(A89,M_Nodes!A:A,M_Nodes!E:E,0)</f>
        <v>2061.6999999999998</v>
      </c>
      <c r="F89" s="65">
        <f>_xlfn.XLOOKUP(A89,M_Nodes!A:A,M_Nodes!F:F,0)</f>
        <v>155</v>
      </c>
      <c r="G89" s="65">
        <f>_xlfn.XLOOKUP(A89,M_Nodes!A:A,M_Nodes!G:G,0)</f>
        <v>1906.7</v>
      </c>
      <c r="H89" s="66" t="str" cm="1">
        <f t="array" aca="1" ref="H89" ca="1">IF(SUM(B89:G89)=0,"",TRIM(_xlfn.TEXTJOIN(CHAR(9),TRUE,"mass",A89, TEXT(ROUND(B89:G89,1),"0.0"))))</f>
        <v>mass	81	2547.5	2547.5	2547.5	2061.7	155.0	1906.7</v>
      </c>
      <c r="M89" s="25"/>
    </row>
    <row r="90" spans="1:13" x14ac:dyDescent="0.3">
      <c r="A90" s="66">
        <v>82</v>
      </c>
      <c r="B90" s="65">
        <f>_xlfn.XLOOKUP(A90,M_Nodes!A:A,M_Nodes!B:B,0)+_xlfn.XLOOKUP(A90,M_Roof!A:A,M_Roof!E:E,0)+_xlfn.XLOOKUP('TCL_Nodal masses'!A90,'M_Filling material'!D:D,'M_Filling material'!R:R,0)+_xlfn.XLOOKUP('TCL_Nodal masses'!A90,'M_Filling material'!E:E,'M_Filling material'!R:R,0)+_xlfn.XLOOKUP('TCL_Nodal masses'!A90,'M_Filling material'!F:F,'M_Filling material'!R:R,0)+_xlfn.XLOOKUP('TCL_Nodal masses'!A90,'M_Filling material'!G:G,'M_Filling material'!R:R,0)+_xlfn.XLOOKUP(A90,M_Floor!C:C,M_Floor!S:S,0)+_xlfn.XLOOKUP(A90,M_Floor!D:D,M_Floor!S:S,0)+_xlfn.XLOOKUP(A90,M_Floor!E:E,M_Floor!S:S,0)+_xlfn.XLOOKUP(A90,M_Floor!F:F,M_Floor!S:S,0)</f>
        <v>1906.7</v>
      </c>
      <c r="C90" s="65">
        <f t="shared" si="2"/>
        <v>1906.7</v>
      </c>
      <c r="D90" s="65">
        <f t="shared" si="3"/>
        <v>1906.7</v>
      </c>
      <c r="E90" s="65">
        <f>_xlfn.XLOOKUP(A90,M_Nodes!A:A,M_Nodes!E:E,0)</f>
        <v>2466.9</v>
      </c>
      <c r="F90" s="65">
        <f>_xlfn.XLOOKUP(A90,M_Nodes!A:A,M_Nodes!F:F,0)</f>
        <v>96.5</v>
      </c>
      <c r="G90" s="65">
        <f>_xlfn.XLOOKUP(A90,M_Nodes!A:A,M_Nodes!G:G,0)</f>
        <v>2370.4</v>
      </c>
      <c r="H90" s="66" t="str" cm="1">
        <f t="array" ref="H90">IF(SUM(B90:G90)=0,"",TRIM(_xlfn.TEXTJOIN(CHAR(9),TRUE,"mass",A90, TEXT(ROUND(B90:G90,1),"0.0"))))</f>
        <v>mass	82	1906.7	1906.7	1906.7	2466.9	96.5	2370.4</v>
      </c>
      <c r="M90" s="25"/>
    </row>
    <row r="91" spans="1:13" x14ac:dyDescent="0.3">
      <c r="A91" s="66">
        <v>83</v>
      </c>
      <c r="B91" s="65">
        <f>_xlfn.XLOOKUP(A91,M_Nodes!A:A,M_Nodes!B:B,0)+_xlfn.XLOOKUP(A91,M_Roof!A:A,M_Roof!E:E,0)+_xlfn.XLOOKUP('TCL_Nodal masses'!A91,'M_Filling material'!D:D,'M_Filling material'!R:R,0)+_xlfn.XLOOKUP('TCL_Nodal masses'!A91,'M_Filling material'!E:E,'M_Filling material'!R:R,0)+_xlfn.XLOOKUP('TCL_Nodal masses'!A91,'M_Filling material'!F:F,'M_Filling material'!R:R,0)+_xlfn.XLOOKUP('TCL_Nodal masses'!A91,'M_Filling material'!G:G,'M_Filling material'!R:R,0)+_xlfn.XLOOKUP(A91,M_Floor!C:C,M_Floor!S:S,0)+_xlfn.XLOOKUP(A91,M_Floor!D:D,M_Floor!S:S,0)+_xlfn.XLOOKUP(A91,M_Floor!E:E,M_Floor!S:S,0)+_xlfn.XLOOKUP(A91,M_Floor!F:F,M_Floor!S:S,0)</f>
        <v>1906.7</v>
      </c>
      <c r="C91" s="65">
        <f t="shared" si="2"/>
        <v>1906.7</v>
      </c>
      <c r="D91" s="65">
        <f t="shared" si="3"/>
        <v>1906.7</v>
      </c>
      <c r="E91" s="65">
        <f>_xlfn.XLOOKUP(A91,M_Nodes!A:A,M_Nodes!E:E,0)</f>
        <v>2466.9</v>
      </c>
      <c r="F91" s="65">
        <f>_xlfn.XLOOKUP(A91,M_Nodes!A:A,M_Nodes!F:F,0)</f>
        <v>96.5</v>
      </c>
      <c r="G91" s="65">
        <f>_xlfn.XLOOKUP(A91,M_Nodes!A:A,M_Nodes!G:G,0)</f>
        <v>2370.4</v>
      </c>
      <c r="H91" s="66" t="str" cm="1">
        <f t="array" ref="H91">IF(SUM(B91:G91)=0,"",TRIM(_xlfn.TEXTJOIN(CHAR(9),TRUE,"mass",A91, TEXT(ROUND(B91:G91,1),"0.0"))))</f>
        <v>mass	83	1906.7	1906.7	1906.7	2466.9	96.5	2370.4</v>
      </c>
      <c r="M91" s="25"/>
    </row>
    <row r="92" spans="1:13" x14ac:dyDescent="0.3">
      <c r="A92" s="66">
        <v>84</v>
      </c>
      <c r="B92" s="65">
        <f>_xlfn.XLOOKUP(A92,M_Nodes!A:A,M_Nodes!B:B,0)+_xlfn.XLOOKUP(A92,M_Roof!A:A,M_Roof!E:E,0)+_xlfn.XLOOKUP('TCL_Nodal masses'!A92,'M_Filling material'!D:D,'M_Filling material'!R:R,0)+_xlfn.XLOOKUP('TCL_Nodal masses'!A92,'M_Filling material'!E:E,'M_Filling material'!R:R,0)+_xlfn.XLOOKUP('TCL_Nodal masses'!A92,'M_Filling material'!F:F,'M_Filling material'!R:R,0)+_xlfn.XLOOKUP('TCL_Nodal masses'!A92,'M_Filling material'!G:G,'M_Filling material'!R:R,0)+_xlfn.XLOOKUP(A92,M_Floor!C:C,M_Floor!S:S,0)+_xlfn.XLOOKUP(A92,M_Floor!D:D,M_Floor!S:S,0)+_xlfn.XLOOKUP(A92,M_Floor!E:E,M_Floor!S:S,0)+_xlfn.XLOOKUP(A92,M_Floor!F:F,M_Floor!S:S,0)</f>
        <v>3816.7</v>
      </c>
      <c r="C92" s="65">
        <f t="shared" si="2"/>
        <v>3816.7</v>
      </c>
      <c r="D92" s="65">
        <f t="shared" si="3"/>
        <v>3816.7</v>
      </c>
      <c r="E92" s="65">
        <f>_xlfn.XLOOKUP(A92,M_Nodes!A:A,M_Nodes!E:E,0)</f>
        <v>5248.8</v>
      </c>
      <c r="F92" s="65">
        <f>_xlfn.XLOOKUP(A92,M_Nodes!A:A,M_Nodes!F:F,0)</f>
        <v>288.60000000000002</v>
      </c>
      <c r="G92" s="65">
        <f>_xlfn.XLOOKUP(A92,M_Nodes!A:A,M_Nodes!G:G,0)</f>
        <v>4960.2</v>
      </c>
      <c r="H92" s="66" t="str" cm="1">
        <f t="array" ref="H92">IF(SUM(B92:G92)=0,"",TRIM(_xlfn.TEXTJOIN(CHAR(9),TRUE,"mass",A92, TEXT(ROUND(B92:G92,1),"0.0"))))</f>
        <v>mass	84	3816.7	3816.7	3816.7	5248.8	288.6	4960.2</v>
      </c>
      <c r="M92" s="25"/>
    </row>
    <row r="93" spans="1:13" x14ac:dyDescent="0.3">
      <c r="A93" s="66">
        <v>85</v>
      </c>
      <c r="B93" s="65">
        <f>_xlfn.XLOOKUP(A93,M_Nodes!A:A,M_Nodes!B:B,0)+_xlfn.XLOOKUP(A93,M_Roof!A:A,M_Roof!E:E,0)+_xlfn.XLOOKUP('TCL_Nodal masses'!A93,'M_Filling material'!D:D,'M_Filling material'!R:R,0)+_xlfn.XLOOKUP('TCL_Nodal masses'!A93,'M_Filling material'!E:E,'M_Filling material'!R:R,0)+_xlfn.XLOOKUP('TCL_Nodal masses'!A93,'M_Filling material'!F:F,'M_Filling material'!R:R,0)+_xlfn.XLOOKUP('TCL_Nodal masses'!A93,'M_Filling material'!G:G,'M_Filling material'!R:R,0)+_xlfn.XLOOKUP(A93,M_Floor!C:C,M_Floor!S:S,0)+_xlfn.XLOOKUP(A93,M_Floor!D:D,M_Floor!S:S,0)+_xlfn.XLOOKUP(A93,M_Floor!E:E,M_Floor!S:S,0)+_xlfn.XLOOKUP(A93,M_Floor!F:F,M_Floor!S:S,0)</f>
        <v>0</v>
      </c>
      <c r="C93" s="65">
        <f t="shared" si="2"/>
        <v>0</v>
      </c>
      <c r="D93" s="65">
        <f t="shared" si="3"/>
        <v>0</v>
      </c>
      <c r="E93" s="65">
        <f>_xlfn.XLOOKUP(A93,M_Nodes!A:A,M_Nodes!E:E,0)</f>
        <v>0</v>
      </c>
      <c r="F93" s="65">
        <f>_xlfn.XLOOKUP(A93,M_Nodes!A:A,M_Nodes!F:F,0)</f>
        <v>0</v>
      </c>
      <c r="G93" s="65">
        <f>_xlfn.XLOOKUP(A93,M_Nodes!A:A,M_Nodes!G:G,0)</f>
        <v>0</v>
      </c>
      <c r="H93" s="66" t="str" cm="1">
        <f t="array" ref="H93">IF(SUM(B93:G93)=0,"",TRIM(_xlfn.TEXTJOIN(CHAR(9),TRUE,"mass",A93, TEXT(ROUND(B93:G93,1),"0.0"))))</f>
        <v/>
      </c>
      <c r="M93" s="25"/>
    </row>
    <row r="94" spans="1:13" x14ac:dyDescent="0.3">
      <c r="A94" s="66">
        <v>86</v>
      </c>
      <c r="B94" s="65">
        <f>_xlfn.XLOOKUP(A94,M_Nodes!A:A,M_Nodes!B:B,0)+_xlfn.XLOOKUP(A94,M_Roof!A:A,M_Roof!E:E,0)+_xlfn.XLOOKUP('TCL_Nodal masses'!A94,'M_Filling material'!D:D,'M_Filling material'!R:R,0)+_xlfn.XLOOKUP('TCL_Nodal masses'!A94,'M_Filling material'!E:E,'M_Filling material'!R:R,0)+_xlfn.XLOOKUP('TCL_Nodal masses'!A94,'M_Filling material'!F:F,'M_Filling material'!R:R,0)+_xlfn.XLOOKUP('TCL_Nodal masses'!A94,'M_Filling material'!G:G,'M_Filling material'!R:R,0)+_xlfn.XLOOKUP(A94,M_Floor!C:C,M_Floor!S:S,0)+_xlfn.XLOOKUP(A94,M_Floor!D:D,M_Floor!S:S,0)+_xlfn.XLOOKUP(A94,M_Floor!E:E,M_Floor!S:S,0)+_xlfn.XLOOKUP(A94,M_Floor!F:F,M_Floor!S:S,0)</f>
        <v>0</v>
      </c>
      <c r="C94" s="65">
        <f t="shared" si="2"/>
        <v>0</v>
      </c>
      <c r="D94" s="65">
        <f t="shared" si="3"/>
        <v>0</v>
      </c>
      <c r="E94" s="65">
        <f>_xlfn.XLOOKUP(A94,M_Nodes!A:A,M_Nodes!E:E,0)</f>
        <v>0</v>
      </c>
      <c r="F94" s="65">
        <f>_xlfn.XLOOKUP(A94,M_Nodes!A:A,M_Nodes!F:F,0)</f>
        <v>0</v>
      </c>
      <c r="G94" s="65">
        <f>_xlfn.XLOOKUP(A94,M_Nodes!A:A,M_Nodes!G:G,0)</f>
        <v>0</v>
      </c>
      <c r="H94" s="66" t="str" cm="1">
        <f t="array" ref="H94">IF(SUM(B94:G94)=0,"",TRIM(_xlfn.TEXTJOIN(CHAR(9),TRUE,"mass",A94, TEXT(ROUND(B94:G94,1),"0.0"))))</f>
        <v/>
      </c>
      <c r="M94" s="25"/>
    </row>
    <row r="95" spans="1:13" x14ac:dyDescent="0.3">
      <c r="A95" s="66">
        <v>87</v>
      </c>
      <c r="B95" s="65">
        <f>_xlfn.XLOOKUP(A95,M_Nodes!A:A,M_Nodes!B:B,0)+_xlfn.XLOOKUP(A95,M_Roof!A:A,M_Roof!E:E,0)+_xlfn.XLOOKUP('TCL_Nodal masses'!A95,'M_Filling material'!D:D,'M_Filling material'!R:R,0)+_xlfn.XLOOKUP('TCL_Nodal masses'!A95,'M_Filling material'!E:E,'M_Filling material'!R:R,0)+_xlfn.XLOOKUP('TCL_Nodal masses'!A95,'M_Filling material'!F:F,'M_Filling material'!R:R,0)+_xlfn.XLOOKUP('TCL_Nodal masses'!A95,'M_Filling material'!G:G,'M_Filling material'!R:R,0)+_xlfn.XLOOKUP(A95,M_Floor!C:C,M_Floor!S:S,0)+_xlfn.XLOOKUP(A95,M_Floor!D:D,M_Floor!S:S,0)+_xlfn.XLOOKUP(A95,M_Floor!E:E,M_Floor!S:S,0)+_xlfn.XLOOKUP(A95,M_Floor!F:F,M_Floor!S:S,0)</f>
        <v>2298.1999999999998</v>
      </c>
      <c r="C95" s="65">
        <f t="shared" si="2"/>
        <v>2298.1999999999998</v>
      </c>
      <c r="D95" s="65">
        <f t="shared" si="3"/>
        <v>2298.1999999999998</v>
      </c>
      <c r="E95" s="65">
        <f>_xlfn.XLOOKUP(A95,M_Nodes!A:A,M_Nodes!E:E,0)</f>
        <v>3354.5</v>
      </c>
      <c r="F95" s="65">
        <f>_xlfn.XLOOKUP(A95,M_Nodes!A:A,M_Nodes!F:F,0)</f>
        <v>367.7</v>
      </c>
      <c r="G95" s="65">
        <f>_xlfn.XLOOKUP(A95,M_Nodes!A:A,M_Nodes!G:G,0)</f>
        <v>2986.8</v>
      </c>
      <c r="H95" s="66" t="str" cm="1">
        <f t="array" ref="H95">IF(SUM(B95:G95)=0,"",TRIM(_xlfn.TEXTJOIN(CHAR(9),TRUE,"mass",A95, TEXT(ROUND(B95:G95,1),"0.0"))))</f>
        <v>mass	87	2298.2	2298.2	2298.2	3354.5	367.7	2986.8</v>
      </c>
      <c r="M95" s="25"/>
    </row>
    <row r="96" spans="1:13" x14ac:dyDescent="0.3">
      <c r="A96" s="66">
        <v>88</v>
      </c>
      <c r="B96" s="65">
        <f ca="1">_xlfn.XLOOKUP(A96,M_Nodes!A:A,M_Nodes!B:B,0)+_xlfn.XLOOKUP(A96,M_Roof!A:A,M_Roof!E:E,0)+_xlfn.XLOOKUP('TCL_Nodal masses'!A96,'M_Filling material'!D:D,'M_Filling material'!R:R,0)+_xlfn.XLOOKUP('TCL_Nodal masses'!A96,'M_Filling material'!E:E,'M_Filling material'!R:R,0)+_xlfn.XLOOKUP('TCL_Nodal masses'!A96,'M_Filling material'!F:F,'M_Filling material'!R:R,0)+_xlfn.XLOOKUP('TCL_Nodal masses'!A96,'M_Filling material'!G:G,'M_Filling material'!R:R,0)+_xlfn.XLOOKUP(A96,M_Floor!C:C,M_Floor!S:S,0)+_xlfn.XLOOKUP(A96,M_Floor!D:D,M_Floor!S:S,0)+_xlfn.XLOOKUP(A96,M_Floor!E:E,M_Floor!S:S,0)+_xlfn.XLOOKUP(A96,M_Floor!F:F,M_Floor!S:S,0)</f>
        <v>7142.9020387359833</v>
      </c>
      <c r="C96" s="65">
        <f t="shared" ca="1" si="2"/>
        <v>7142.9020387359833</v>
      </c>
      <c r="D96" s="65">
        <f t="shared" ca="1" si="3"/>
        <v>7142.9020387359833</v>
      </c>
      <c r="E96" s="65">
        <f>_xlfn.XLOOKUP(A96,M_Nodes!A:A,M_Nodes!E:E,0)</f>
        <v>766.5</v>
      </c>
      <c r="F96" s="65">
        <f>_xlfn.XLOOKUP(A96,M_Nodes!A:A,M_Nodes!F:F,0)</f>
        <v>5310.6</v>
      </c>
      <c r="G96" s="65">
        <f>_xlfn.XLOOKUP(A96,M_Nodes!A:A,M_Nodes!G:G,0)</f>
        <v>4544.1000000000004</v>
      </c>
      <c r="H96" s="66" t="str" cm="1">
        <f t="array" aca="1" ref="H96" ca="1">IF(SUM(B96:G96)=0,"",TRIM(_xlfn.TEXTJOIN(CHAR(9),TRUE,"mass",A96, TEXT(ROUND(B96:G96,1),"0.0"))))</f>
        <v>mass	88	7142.9	7142.9	7142.9	766.5	5310.6	4544.1</v>
      </c>
      <c r="M96" s="25"/>
    </row>
    <row r="97" spans="1:13" x14ac:dyDescent="0.3">
      <c r="A97" s="66">
        <v>89</v>
      </c>
      <c r="B97" s="65">
        <f ca="1">_xlfn.XLOOKUP(A97,M_Nodes!A:A,M_Nodes!B:B,0)+_xlfn.XLOOKUP(A97,M_Roof!A:A,M_Roof!E:E,0)+_xlfn.XLOOKUP('TCL_Nodal masses'!A97,'M_Filling material'!D:D,'M_Filling material'!R:R,0)+_xlfn.XLOOKUP('TCL_Nodal masses'!A97,'M_Filling material'!E:E,'M_Filling material'!R:R,0)+_xlfn.XLOOKUP('TCL_Nodal masses'!A97,'M_Filling material'!F:F,'M_Filling material'!R:R,0)+_xlfn.XLOOKUP('TCL_Nodal masses'!A97,'M_Filling material'!G:G,'M_Filling material'!R:R,0)+_xlfn.XLOOKUP(A97,M_Floor!C:C,M_Floor!S:S,0)+_xlfn.XLOOKUP(A97,M_Floor!D:D,M_Floor!S:S,0)+_xlfn.XLOOKUP(A97,M_Floor!E:E,M_Floor!S:S,0)+_xlfn.XLOOKUP(A97,M_Floor!F:F,M_Floor!S:S,0)</f>
        <v>9381.6649765081002</v>
      </c>
      <c r="C97" s="65">
        <f t="shared" ca="1" si="2"/>
        <v>9381.6649765081002</v>
      </c>
      <c r="D97" s="65">
        <f t="shared" ca="1" si="3"/>
        <v>9381.6649765081002</v>
      </c>
      <c r="E97" s="65">
        <f>_xlfn.XLOOKUP(A97,M_Nodes!A:A,M_Nodes!E:E,0)</f>
        <v>150.4</v>
      </c>
      <c r="F97" s="65">
        <f>_xlfn.XLOOKUP(A97,M_Nodes!A:A,M_Nodes!F:F,0)</f>
        <v>5721.8</v>
      </c>
      <c r="G97" s="65">
        <f>_xlfn.XLOOKUP(A97,M_Nodes!A:A,M_Nodes!G:G,0)</f>
        <v>5571.4</v>
      </c>
      <c r="H97" s="66" t="str" cm="1">
        <f t="array" aca="1" ref="H97" ca="1">IF(SUM(B97:G97)=0,"",TRIM(_xlfn.TEXTJOIN(CHAR(9),TRUE,"mass",A97, TEXT(ROUND(B97:G97,1),"0.0"))))</f>
        <v>mass	89	9381.7	9381.7	9381.7	150.4	5721.8	5571.4</v>
      </c>
      <c r="M97" s="25"/>
    </row>
    <row r="98" spans="1:13" x14ac:dyDescent="0.3">
      <c r="A98" s="66">
        <v>90</v>
      </c>
      <c r="B98" s="65">
        <f>_xlfn.XLOOKUP(A98,M_Nodes!A:A,M_Nodes!B:B,0)+_xlfn.XLOOKUP(A98,M_Roof!A:A,M_Roof!E:E,0)+_xlfn.XLOOKUP('TCL_Nodal masses'!A98,'M_Filling material'!D:D,'M_Filling material'!R:R,0)+_xlfn.XLOOKUP('TCL_Nodal masses'!A98,'M_Filling material'!E:E,'M_Filling material'!R:R,0)+_xlfn.XLOOKUP('TCL_Nodal masses'!A98,'M_Filling material'!F:F,'M_Filling material'!R:R,0)+_xlfn.XLOOKUP('TCL_Nodal masses'!A98,'M_Filling material'!G:G,'M_Filling material'!R:R,0)+_xlfn.XLOOKUP(A98,M_Floor!C:C,M_Floor!S:S,0)+_xlfn.XLOOKUP(A98,M_Floor!D:D,M_Floor!S:S,0)+_xlfn.XLOOKUP(A98,M_Floor!E:E,M_Floor!S:S,0)+_xlfn.XLOOKUP(A98,M_Floor!F:F,M_Floor!S:S,0)</f>
        <v>0</v>
      </c>
      <c r="C98" s="65">
        <f t="shared" si="2"/>
        <v>0</v>
      </c>
      <c r="D98" s="65">
        <f t="shared" si="3"/>
        <v>0</v>
      </c>
      <c r="E98" s="65">
        <f>_xlfn.XLOOKUP(A98,M_Nodes!A:A,M_Nodes!E:E,0)</f>
        <v>0</v>
      </c>
      <c r="F98" s="65">
        <f>_xlfn.XLOOKUP(A98,M_Nodes!A:A,M_Nodes!F:F,0)</f>
        <v>0</v>
      </c>
      <c r="G98" s="65">
        <f>_xlfn.XLOOKUP(A98,M_Nodes!A:A,M_Nodes!G:G,0)</f>
        <v>0</v>
      </c>
      <c r="H98" s="66" t="str" cm="1">
        <f t="array" ref="H98">IF(SUM(B98:G98)=0,"",TRIM(_xlfn.TEXTJOIN(CHAR(9),TRUE,"mass",A98, TEXT(ROUND(B98:G98,1),"0.0"))))</f>
        <v/>
      </c>
      <c r="M98" s="25"/>
    </row>
    <row r="99" spans="1:13" x14ac:dyDescent="0.3">
      <c r="A99" s="66">
        <v>91</v>
      </c>
      <c r="B99" s="65">
        <f>_xlfn.XLOOKUP(A99,M_Nodes!A:A,M_Nodes!B:B,0)+_xlfn.XLOOKUP(A99,M_Roof!A:A,M_Roof!E:E,0)+_xlfn.XLOOKUP('TCL_Nodal masses'!A99,'M_Filling material'!D:D,'M_Filling material'!R:R,0)+_xlfn.XLOOKUP('TCL_Nodal masses'!A99,'M_Filling material'!E:E,'M_Filling material'!R:R,0)+_xlfn.XLOOKUP('TCL_Nodal masses'!A99,'M_Filling material'!F:F,'M_Filling material'!R:R,0)+_xlfn.XLOOKUP('TCL_Nodal masses'!A99,'M_Filling material'!G:G,'M_Filling material'!R:R,0)+_xlfn.XLOOKUP(A99,M_Floor!C:C,M_Floor!S:S,0)+_xlfn.XLOOKUP(A99,M_Floor!D:D,M_Floor!S:S,0)+_xlfn.XLOOKUP(A99,M_Floor!E:E,M_Floor!S:S,0)+_xlfn.XLOOKUP(A99,M_Floor!F:F,M_Floor!S:S,0)</f>
        <v>8140.1733944954121</v>
      </c>
      <c r="C99" s="65">
        <f t="shared" si="2"/>
        <v>8140.1733944954121</v>
      </c>
      <c r="D99" s="65">
        <f t="shared" si="3"/>
        <v>8140.1733944954121</v>
      </c>
      <c r="E99" s="65">
        <f>_xlfn.XLOOKUP(A99,M_Nodes!A:A,M_Nodes!E:E,0)</f>
        <v>5800.8</v>
      </c>
      <c r="F99" s="65">
        <f>_xlfn.XLOOKUP(A99,M_Nodes!A:A,M_Nodes!F:F,0)</f>
        <v>1604.2</v>
      </c>
      <c r="G99" s="65">
        <f>_xlfn.XLOOKUP(A99,M_Nodes!A:A,M_Nodes!G:G,0)</f>
        <v>4196.6000000000004</v>
      </c>
      <c r="H99" s="66" t="str" cm="1">
        <f t="array" ref="H99">IF(SUM(B99:G99)=0,"",TRIM(_xlfn.TEXTJOIN(CHAR(9),TRUE,"mass",A99, TEXT(ROUND(B99:G99,1),"0.0"))))</f>
        <v>mass	91	8140.2	8140.2	8140.2	5800.8	1604.2	4196.6</v>
      </c>
      <c r="M99" s="25"/>
    </row>
    <row r="100" spans="1:13" x14ac:dyDescent="0.3">
      <c r="A100" s="66">
        <v>92</v>
      </c>
      <c r="B100" s="65">
        <f>_xlfn.XLOOKUP(A100,M_Nodes!A:A,M_Nodes!B:B,0)+_xlfn.XLOOKUP(A100,M_Roof!A:A,M_Roof!E:E,0)+_xlfn.XLOOKUP('TCL_Nodal masses'!A100,'M_Filling material'!D:D,'M_Filling material'!R:R,0)+_xlfn.XLOOKUP('TCL_Nodal masses'!A100,'M_Filling material'!E:E,'M_Filling material'!R:R,0)+_xlfn.XLOOKUP('TCL_Nodal masses'!A100,'M_Filling material'!F:F,'M_Filling material'!R:R,0)+_xlfn.XLOOKUP('TCL_Nodal masses'!A100,'M_Filling material'!G:G,'M_Filling material'!R:R,0)+_xlfn.XLOOKUP(A100,M_Floor!C:C,M_Floor!S:S,0)+_xlfn.XLOOKUP(A100,M_Floor!D:D,M_Floor!S:S,0)+_xlfn.XLOOKUP(A100,M_Floor!E:E,M_Floor!S:S,0)+_xlfn.XLOOKUP(A100,M_Floor!F:F,M_Floor!S:S,0)</f>
        <v>0</v>
      </c>
      <c r="C100" s="65">
        <f t="shared" si="2"/>
        <v>0</v>
      </c>
      <c r="D100" s="65">
        <f t="shared" si="3"/>
        <v>0</v>
      </c>
      <c r="E100" s="65">
        <f>_xlfn.XLOOKUP(A100,M_Nodes!A:A,M_Nodes!E:E,0)</f>
        <v>0</v>
      </c>
      <c r="F100" s="65">
        <f>_xlfn.XLOOKUP(A100,M_Nodes!A:A,M_Nodes!F:F,0)</f>
        <v>0</v>
      </c>
      <c r="G100" s="65">
        <f>_xlfn.XLOOKUP(A100,M_Nodes!A:A,M_Nodes!G:G,0)</f>
        <v>0</v>
      </c>
      <c r="H100" s="66" t="str" cm="1">
        <f t="array" ref="H100">IF(SUM(B100:G100)=0,"",TRIM(_xlfn.TEXTJOIN(CHAR(9),TRUE,"mass",A100, TEXT(ROUND(B100:G100,1),"0.0"))))</f>
        <v/>
      </c>
      <c r="M100" s="25"/>
    </row>
    <row r="101" spans="1:13" x14ac:dyDescent="0.3">
      <c r="A101" s="66">
        <v>93</v>
      </c>
      <c r="B101" s="65">
        <f>_xlfn.XLOOKUP(A101,M_Nodes!A:A,M_Nodes!B:B,0)+_xlfn.XLOOKUP(A101,M_Roof!A:A,M_Roof!E:E,0)+_xlfn.XLOOKUP('TCL_Nodal masses'!A101,'M_Filling material'!D:D,'M_Filling material'!R:R,0)+_xlfn.XLOOKUP('TCL_Nodal masses'!A101,'M_Filling material'!E:E,'M_Filling material'!R:R,0)+_xlfn.XLOOKUP('TCL_Nodal masses'!A101,'M_Filling material'!F:F,'M_Filling material'!R:R,0)+_xlfn.XLOOKUP('TCL_Nodal masses'!A101,'M_Filling material'!G:G,'M_Filling material'!R:R,0)+_xlfn.XLOOKUP(A101,M_Floor!C:C,M_Floor!S:S,0)+_xlfn.XLOOKUP(A101,M_Floor!D:D,M_Floor!S:S,0)+_xlfn.XLOOKUP(A101,M_Floor!E:E,M_Floor!S:S,0)+_xlfn.XLOOKUP(A101,M_Floor!F:F,M_Floor!S:S,0)</f>
        <v>6517.2733944954125</v>
      </c>
      <c r="C101" s="65">
        <f t="shared" si="2"/>
        <v>6517.2733944954125</v>
      </c>
      <c r="D101" s="65">
        <f t="shared" si="3"/>
        <v>6517.2733944954125</v>
      </c>
      <c r="E101" s="65">
        <f>_xlfn.XLOOKUP(A101,M_Nodes!A:A,M_Nodes!E:E,0)</f>
        <v>1075.7</v>
      </c>
      <c r="F101" s="65">
        <f>_xlfn.XLOOKUP(A101,M_Nodes!A:A,M_Nodes!F:F,0)</f>
        <v>1067.7</v>
      </c>
      <c r="G101" s="65">
        <f>_xlfn.XLOOKUP(A101,M_Nodes!A:A,M_Nodes!G:G,0)</f>
        <v>8.1</v>
      </c>
      <c r="H101" s="66" t="str" cm="1">
        <f t="array" ref="H101">IF(SUM(B101:G101)=0,"",TRIM(_xlfn.TEXTJOIN(CHAR(9),TRUE,"mass",A101, TEXT(ROUND(B101:G101,1),"0.0"))))</f>
        <v>mass	93	6517.3	6517.3	6517.3	1075.7	1067.7	8.1</v>
      </c>
      <c r="M101" s="25"/>
    </row>
    <row r="102" spans="1:13" x14ac:dyDescent="0.3">
      <c r="A102" s="66">
        <v>94</v>
      </c>
      <c r="B102" s="65">
        <f ca="1">_xlfn.XLOOKUP(A102,M_Nodes!A:A,M_Nodes!B:B,0)+_xlfn.XLOOKUP(A102,M_Roof!A:A,M_Roof!E:E,0)+_xlfn.XLOOKUP('TCL_Nodal masses'!A102,'M_Filling material'!D:D,'M_Filling material'!R:R,0)+_xlfn.XLOOKUP('TCL_Nodal masses'!A102,'M_Filling material'!E:E,'M_Filling material'!R:R,0)+_xlfn.XLOOKUP('TCL_Nodal masses'!A102,'M_Filling material'!F:F,'M_Filling material'!R:R,0)+_xlfn.XLOOKUP('TCL_Nodal masses'!A102,'M_Filling material'!G:G,'M_Filling material'!R:R,0)+_xlfn.XLOOKUP(A102,M_Floor!C:C,M_Floor!S:S,0)+_xlfn.XLOOKUP(A102,M_Floor!D:D,M_Floor!S:S,0)+_xlfn.XLOOKUP(A102,M_Floor!E:E,M_Floor!S:S,0)+_xlfn.XLOOKUP(A102,M_Floor!F:F,M_Floor!S:S,0)</f>
        <v>11677.353792774273</v>
      </c>
      <c r="C102" s="65">
        <f t="shared" ca="1" si="2"/>
        <v>11677.353792774273</v>
      </c>
      <c r="D102" s="65">
        <f t="shared" ca="1" si="3"/>
        <v>11677.353792774273</v>
      </c>
      <c r="E102" s="65">
        <f>_xlfn.XLOOKUP(A102,M_Nodes!A:A,M_Nodes!E:E,0)</f>
        <v>4587.1000000000004</v>
      </c>
      <c r="F102" s="65">
        <f>_xlfn.XLOOKUP(A102,M_Nodes!A:A,M_Nodes!F:F,0)</f>
        <v>253.6</v>
      </c>
      <c r="G102" s="65">
        <f>_xlfn.XLOOKUP(A102,M_Nodes!A:A,M_Nodes!G:G,0)</f>
        <v>4333.3999999999996</v>
      </c>
      <c r="H102" s="66" t="str" cm="1">
        <f t="array" aca="1" ref="H102" ca="1">IF(SUM(B102:G102)=0,"",TRIM(_xlfn.TEXTJOIN(CHAR(9),TRUE,"mass",A102, TEXT(ROUND(B102:G102,1),"0.0"))))</f>
        <v>mass	94	11677.4	11677.4	11677.4	4587.1	253.6	4333.4</v>
      </c>
      <c r="M102" s="25"/>
    </row>
    <row r="103" spans="1:13" x14ac:dyDescent="0.3">
      <c r="A103" s="66">
        <v>95</v>
      </c>
      <c r="B103" s="65">
        <f ca="1">_xlfn.XLOOKUP(A103,M_Nodes!A:A,M_Nodes!B:B,0)+_xlfn.XLOOKUP(A103,M_Roof!A:A,M_Roof!E:E,0)+_xlfn.XLOOKUP('TCL_Nodal masses'!A103,'M_Filling material'!D:D,'M_Filling material'!R:R,0)+_xlfn.XLOOKUP('TCL_Nodal masses'!A103,'M_Filling material'!E:E,'M_Filling material'!R:R,0)+_xlfn.XLOOKUP('TCL_Nodal masses'!A103,'M_Filling material'!F:F,'M_Filling material'!R:R,0)+_xlfn.XLOOKUP('TCL_Nodal masses'!A103,'M_Filling material'!G:G,'M_Filling material'!R:R,0)+_xlfn.XLOOKUP(A103,M_Floor!C:C,M_Floor!S:S,0)+_xlfn.XLOOKUP(A103,M_Floor!D:D,M_Floor!S:S,0)+_xlfn.XLOOKUP(A103,M_Floor!E:E,M_Floor!S:S,0)+_xlfn.XLOOKUP(A103,M_Floor!F:F,M_Floor!S:S,0)</f>
        <v>408.37765194954136</v>
      </c>
      <c r="C103" s="65">
        <f t="shared" ca="1" si="2"/>
        <v>408.37765194954136</v>
      </c>
      <c r="D103" s="65">
        <f t="shared" ca="1" si="3"/>
        <v>408.37765194954136</v>
      </c>
      <c r="E103" s="65">
        <f>_xlfn.XLOOKUP(A103,M_Nodes!A:A,M_Nodes!E:E,0)</f>
        <v>0</v>
      </c>
      <c r="F103" s="65">
        <f>_xlfn.XLOOKUP(A103,M_Nodes!A:A,M_Nodes!F:F,0)</f>
        <v>0</v>
      </c>
      <c r="G103" s="65">
        <f>_xlfn.XLOOKUP(A103,M_Nodes!A:A,M_Nodes!G:G,0)</f>
        <v>0</v>
      </c>
      <c r="H103" s="66" t="str" cm="1">
        <f t="array" aca="1" ref="H103" ca="1">IF(SUM(B103:G103)=0,"",TRIM(_xlfn.TEXTJOIN(CHAR(9),TRUE,"mass",A103, TEXT(ROUND(B103:G103,1),"0.0"))))</f>
        <v>mass	95	408.4	408.4	408.4	0.0	0.0	0.0</v>
      </c>
      <c r="M103" s="25"/>
    </row>
    <row r="104" spans="1:13" x14ac:dyDescent="0.3">
      <c r="A104" s="66">
        <v>96</v>
      </c>
      <c r="B104" s="65">
        <f ca="1">_xlfn.XLOOKUP(A104,M_Nodes!A:A,M_Nodes!B:B,0)+_xlfn.XLOOKUP(A104,M_Roof!A:A,M_Roof!E:E,0)+_xlfn.XLOOKUP('TCL_Nodal masses'!A104,'M_Filling material'!D:D,'M_Filling material'!R:R,0)+_xlfn.XLOOKUP('TCL_Nodal masses'!A104,'M_Filling material'!E:E,'M_Filling material'!R:R,0)+_xlfn.XLOOKUP('TCL_Nodal masses'!A104,'M_Filling material'!F:F,'M_Filling material'!R:R,0)+_xlfn.XLOOKUP('TCL_Nodal masses'!A104,'M_Filling material'!G:G,'M_Filling material'!R:R,0)+_xlfn.XLOOKUP(A104,M_Floor!C:C,M_Floor!S:S,0)+_xlfn.XLOOKUP(A104,M_Floor!D:D,M_Floor!S:S,0)+_xlfn.XLOOKUP(A104,M_Floor!E:E,M_Floor!S:S,0)+_xlfn.XLOOKUP(A104,M_Floor!F:F,M_Floor!S:S,0)</f>
        <v>8620.2892988496351</v>
      </c>
      <c r="C104" s="65">
        <f t="shared" ca="1" si="2"/>
        <v>8620.2892988496351</v>
      </c>
      <c r="D104" s="65">
        <f t="shared" ca="1" si="3"/>
        <v>8620.2892988496351</v>
      </c>
      <c r="E104" s="65">
        <f>_xlfn.XLOOKUP(A104,M_Nodes!A:A,M_Nodes!E:E,0)</f>
        <v>177.1</v>
      </c>
      <c r="F104" s="65">
        <f>_xlfn.XLOOKUP(A104,M_Nodes!A:A,M_Nodes!F:F,0)</f>
        <v>168.8</v>
      </c>
      <c r="G104" s="65">
        <f>_xlfn.XLOOKUP(A104,M_Nodes!A:A,M_Nodes!G:G,0)</f>
        <v>8.3000000000000007</v>
      </c>
      <c r="H104" s="66" t="str" cm="1">
        <f t="array" aca="1" ref="H104" ca="1">IF(SUM(B104:G104)=0,"",TRIM(_xlfn.TEXTJOIN(CHAR(9),TRUE,"mass",A104, TEXT(ROUND(B104:G104,1),"0.0"))))</f>
        <v>mass	96	8620.3	8620.3	8620.3	177.1	168.8	8.3</v>
      </c>
      <c r="M104" s="25"/>
    </row>
    <row r="105" spans="1:13" x14ac:dyDescent="0.3">
      <c r="A105" s="66">
        <v>97</v>
      </c>
      <c r="B105" s="65">
        <f>_xlfn.XLOOKUP(A105,M_Nodes!A:A,M_Nodes!B:B,0)+_xlfn.XLOOKUP(A105,M_Roof!A:A,M_Roof!E:E,0)+_xlfn.XLOOKUP('TCL_Nodal masses'!A105,'M_Filling material'!D:D,'M_Filling material'!R:R,0)+_xlfn.XLOOKUP('TCL_Nodal masses'!A105,'M_Filling material'!E:E,'M_Filling material'!R:R,0)+_xlfn.XLOOKUP('TCL_Nodal masses'!A105,'M_Filling material'!F:F,'M_Filling material'!R:R,0)+_xlfn.XLOOKUP('TCL_Nodal masses'!A105,'M_Filling material'!G:G,'M_Filling material'!R:R,0)+_xlfn.XLOOKUP(A105,M_Floor!C:C,M_Floor!S:S,0)+_xlfn.XLOOKUP(A105,M_Floor!D:D,M_Floor!S:S,0)+_xlfn.XLOOKUP(A105,M_Floor!E:E,M_Floor!S:S,0)+_xlfn.XLOOKUP(A105,M_Floor!F:F,M_Floor!S:S,0)</f>
        <v>0</v>
      </c>
      <c r="C105" s="65">
        <f t="shared" si="2"/>
        <v>0</v>
      </c>
      <c r="D105" s="65">
        <f t="shared" si="3"/>
        <v>0</v>
      </c>
      <c r="E105" s="65">
        <f>_xlfn.XLOOKUP(A105,M_Nodes!A:A,M_Nodes!E:E,0)</f>
        <v>0</v>
      </c>
      <c r="F105" s="65">
        <f>_xlfn.XLOOKUP(A105,M_Nodes!A:A,M_Nodes!F:F,0)</f>
        <v>0</v>
      </c>
      <c r="G105" s="65">
        <f>_xlfn.XLOOKUP(A105,M_Nodes!A:A,M_Nodes!G:G,0)</f>
        <v>0</v>
      </c>
      <c r="H105" s="66" t="str" cm="1">
        <f t="array" ref="H105">IF(SUM(B105:G105)=0,"",TRIM(_xlfn.TEXTJOIN(CHAR(9),TRUE,"mass",A105, TEXT(ROUND(B105:G105,1),"0.0"))))</f>
        <v/>
      </c>
      <c r="M105" s="25"/>
    </row>
    <row r="106" spans="1:13" x14ac:dyDescent="0.3">
      <c r="A106" s="66">
        <v>98</v>
      </c>
      <c r="B106" s="65">
        <f>_xlfn.XLOOKUP(A106,M_Nodes!A:A,M_Nodes!B:B,0)+_xlfn.XLOOKUP(A106,M_Roof!A:A,M_Roof!E:E,0)+_xlfn.XLOOKUP('TCL_Nodal masses'!A106,'M_Filling material'!D:D,'M_Filling material'!R:R,0)+_xlfn.XLOOKUP('TCL_Nodal masses'!A106,'M_Filling material'!E:E,'M_Filling material'!R:R,0)+_xlfn.XLOOKUP('TCL_Nodal masses'!A106,'M_Filling material'!F:F,'M_Filling material'!R:R,0)+_xlfn.XLOOKUP('TCL_Nodal masses'!A106,'M_Filling material'!G:G,'M_Filling material'!R:R,0)+_xlfn.XLOOKUP(A106,M_Floor!C:C,M_Floor!S:S,0)+_xlfn.XLOOKUP(A106,M_Floor!D:D,M_Floor!S:S,0)+_xlfn.XLOOKUP(A106,M_Floor!E:E,M_Floor!S:S,0)+_xlfn.XLOOKUP(A106,M_Floor!F:F,M_Floor!S:S,0)</f>
        <v>0</v>
      </c>
      <c r="C106" s="65">
        <f t="shared" si="2"/>
        <v>0</v>
      </c>
      <c r="D106" s="65">
        <f t="shared" si="3"/>
        <v>0</v>
      </c>
      <c r="E106" s="65">
        <f>_xlfn.XLOOKUP(A106,M_Nodes!A:A,M_Nodes!E:E,0)</f>
        <v>0</v>
      </c>
      <c r="F106" s="65">
        <f>_xlfn.XLOOKUP(A106,M_Nodes!A:A,M_Nodes!F:F,0)</f>
        <v>0</v>
      </c>
      <c r="G106" s="65">
        <f>_xlfn.XLOOKUP(A106,M_Nodes!A:A,M_Nodes!G:G,0)</f>
        <v>0</v>
      </c>
      <c r="H106" s="66" t="str" cm="1">
        <f t="array" ref="H106">IF(SUM(B106:G106)=0,"",TRIM(_xlfn.TEXTJOIN(CHAR(9),TRUE,"mass",A106, TEXT(ROUND(B106:G106,1),"0.0"))))</f>
        <v/>
      </c>
      <c r="M106" s="25"/>
    </row>
    <row r="107" spans="1:13" x14ac:dyDescent="0.3">
      <c r="A107" s="66">
        <v>99</v>
      </c>
      <c r="B107" s="65">
        <f>_xlfn.XLOOKUP(A107,M_Nodes!A:A,M_Nodes!B:B,0)+_xlfn.XLOOKUP(A107,M_Roof!A:A,M_Roof!E:E,0)+_xlfn.XLOOKUP('TCL_Nodal masses'!A107,'M_Filling material'!D:D,'M_Filling material'!R:R,0)+_xlfn.XLOOKUP('TCL_Nodal masses'!A107,'M_Filling material'!E:E,'M_Filling material'!R:R,0)+_xlfn.XLOOKUP('TCL_Nodal masses'!A107,'M_Filling material'!F:F,'M_Filling material'!R:R,0)+_xlfn.XLOOKUP('TCL_Nodal masses'!A107,'M_Filling material'!G:G,'M_Filling material'!R:R,0)+_xlfn.XLOOKUP(A107,M_Floor!C:C,M_Floor!S:S,0)+_xlfn.XLOOKUP(A107,M_Floor!D:D,M_Floor!S:S,0)+_xlfn.XLOOKUP(A107,M_Floor!E:E,M_Floor!S:S,0)+_xlfn.XLOOKUP(A107,M_Floor!F:F,M_Floor!S:S,0)</f>
        <v>0</v>
      </c>
      <c r="C107" s="65">
        <f t="shared" si="2"/>
        <v>0</v>
      </c>
      <c r="D107" s="65">
        <f t="shared" si="3"/>
        <v>0</v>
      </c>
      <c r="E107" s="65">
        <f>_xlfn.XLOOKUP(A107,M_Nodes!A:A,M_Nodes!E:E,0)</f>
        <v>0</v>
      </c>
      <c r="F107" s="65">
        <f>_xlfn.XLOOKUP(A107,M_Nodes!A:A,M_Nodes!F:F,0)</f>
        <v>0</v>
      </c>
      <c r="G107" s="65">
        <f>_xlfn.XLOOKUP(A107,M_Nodes!A:A,M_Nodes!G:G,0)</f>
        <v>0</v>
      </c>
      <c r="H107" s="66" t="str" cm="1">
        <f t="array" ref="H107">IF(SUM(B107:G107)=0,"",TRIM(_xlfn.TEXTJOIN(CHAR(9),TRUE,"mass",A107, TEXT(ROUND(B107:G107,1),"0.0"))))</f>
        <v/>
      </c>
      <c r="M107" s="25"/>
    </row>
    <row r="108" spans="1:13" x14ac:dyDescent="0.3">
      <c r="A108" s="66">
        <v>100</v>
      </c>
      <c r="B108" s="65">
        <f ca="1">_xlfn.XLOOKUP(A108,M_Nodes!A:A,M_Nodes!B:B,0)+_xlfn.XLOOKUP(A108,M_Roof!A:A,M_Roof!E:E,0)+_xlfn.XLOOKUP('TCL_Nodal masses'!A108,'M_Filling material'!D:D,'M_Filling material'!R:R,0)+_xlfn.XLOOKUP('TCL_Nodal masses'!A108,'M_Filling material'!E:E,'M_Filling material'!R:R,0)+_xlfn.XLOOKUP('TCL_Nodal masses'!A108,'M_Filling material'!F:F,'M_Filling material'!R:R,0)+_xlfn.XLOOKUP('TCL_Nodal masses'!A108,'M_Filling material'!G:G,'M_Filling material'!R:R,0)+_xlfn.XLOOKUP(A108,M_Floor!C:C,M_Floor!S:S,0)+_xlfn.XLOOKUP(A108,M_Floor!D:D,M_Floor!S:S,0)+_xlfn.XLOOKUP(A108,M_Floor!E:E,M_Floor!S:S,0)+_xlfn.XLOOKUP(A108,M_Floor!F:F,M_Floor!S:S,0)</f>
        <v>3010.5276758409773</v>
      </c>
      <c r="C108" s="65">
        <f t="shared" ca="1" si="2"/>
        <v>3010.5276758409773</v>
      </c>
      <c r="D108" s="65">
        <f t="shared" ca="1" si="3"/>
        <v>3010.5276758409773</v>
      </c>
      <c r="E108" s="65">
        <f>_xlfn.XLOOKUP(A108,M_Nodes!A:A,M_Nodes!E:E,0)</f>
        <v>191.6</v>
      </c>
      <c r="F108" s="65">
        <f>_xlfn.XLOOKUP(A108,M_Nodes!A:A,M_Nodes!F:F,0)</f>
        <v>262.60000000000002</v>
      </c>
      <c r="G108" s="65">
        <f>_xlfn.XLOOKUP(A108,M_Nodes!A:A,M_Nodes!G:G,0)</f>
        <v>71</v>
      </c>
      <c r="H108" s="66" t="str" cm="1">
        <f t="array" aca="1" ref="H108" ca="1">IF(SUM(B108:G108)=0,"",TRIM(_xlfn.TEXTJOIN(CHAR(9),TRUE,"mass",A108, TEXT(ROUND(B108:G108,1),"0.0"))))</f>
        <v>mass	100	3010.5	3010.5	3010.5	191.6	262.6	71.0</v>
      </c>
      <c r="M108" s="25"/>
    </row>
    <row r="109" spans="1:13" x14ac:dyDescent="0.3">
      <c r="A109" s="66">
        <v>101</v>
      </c>
      <c r="B109" s="65">
        <f ca="1">_xlfn.XLOOKUP(A109,M_Nodes!A:A,M_Nodes!B:B,0)+_xlfn.XLOOKUP(A109,M_Roof!A:A,M_Roof!E:E,0)+_xlfn.XLOOKUP('TCL_Nodal masses'!A109,'M_Filling material'!D:D,'M_Filling material'!R:R,0)+_xlfn.XLOOKUP('TCL_Nodal masses'!A109,'M_Filling material'!E:E,'M_Filling material'!R:R,0)+_xlfn.XLOOKUP('TCL_Nodal masses'!A109,'M_Filling material'!F:F,'M_Filling material'!R:R,0)+_xlfn.XLOOKUP('TCL_Nodal masses'!A109,'M_Filling material'!G:G,'M_Filling material'!R:R,0)+_xlfn.XLOOKUP(A109,M_Floor!C:C,M_Floor!S:S,0)+_xlfn.XLOOKUP(A109,M_Floor!D:D,M_Floor!S:S,0)+_xlfn.XLOOKUP(A109,M_Floor!E:E,M_Floor!S:S,0)+_xlfn.XLOOKUP(A109,M_Floor!F:F,M_Floor!S:S,0)</f>
        <v>2581.7986153236934</v>
      </c>
      <c r="C109" s="65">
        <f t="shared" ca="1" si="2"/>
        <v>2581.7986153236934</v>
      </c>
      <c r="D109" s="65">
        <f t="shared" ca="1" si="3"/>
        <v>2581.7986153236934</v>
      </c>
      <c r="E109" s="65">
        <f>_xlfn.XLOOKUP(A109,M_Nodes!A:A,M_Nodes!E:E,0)</f>
        <v>24.2</v>
      </c>
      <c r="F109" s="65">
        <f>_xlfn.XLOOKUP(A109,M_Nodes!A:A,M_Nodes!F:F,0)</f>
        <v>82.9</v>
      </c>
      <c r="G109" s="65">
        <f>_xlfn.XLOOKUP(A109,M_Nodes!A:A,M_Nodes!G:G,0)</f>
        <v>58.7</v>
      </c>
      <c r="H109" s="66" t="str" cm="1">
        <f t="array" aca="1" ref="H109" ca="1">IF(SUM(B109:G109)=0,"",TRIM(_xlfn.TEXTJOIN(CHAR(9),TRUE,"mass",A109, TEXT(ROUND(B109:G109,1),"0.0"))))</f>
        <v>mass	101	2581.8	2581.8	2581.8	24.2	82.9	58.7</v>
      </c>
      <c r="M109" s="25"/>
    </row>
    <row r="111" spans="1:13" s="61" customFormat="1" x14ac:dyDescent="0.3">
      <c r="A111" s="61" t="s">
        <v>0</v>
      </c>
      <c r="H111" s="61" t="s">
        <v>0</v>
      </c>
    </row>
    <row r="112" spans="1:13" x14ac:dyDescent="0.3">
      <c r="A112" s="68">
        <f>TCL_Nodes!B228</f>
        <v>301</v>
      </c>
      <c r="B112" s="65">
        <f ca="1">_xlfn.XLOOKUP(A112,M_Floor!C:C,M_Floor!S:S,0)+_xlfn.XLOOKUP(A112,M_Floor!D:D,M_Floor!S:S,0)+_xlfn.XLOOKUP(A112,M_Floor!E:E,M_Floor!S:S,0)+_xlfn.XLOOKUP(A112,M_Floor!F:F,M_Floor!S:S,0)</f>
        <v>347.93775946100925</v>
      </c>
      <c r="C112" s="65">
        <f ca="1">B112</f>
        <v>347.93775946100925</v>
      </c>
      <c r="D112" s="65">
        <f t="shared" ref="D112:D120" ca="1" si="4">B112</f>
        <v>347.93775946100925</v>
      </c>
      <c r="E112" s="65">
        <v>0</v>
      </c>
      <c r="F112" s="65">
        <v>0</v>
      </c>
      <c r="G112" s="66">
        <v>0</v>
      </c>
      <c r="H112" s="66" t="str" cm="1">
        <f t="array" aca="1" ref="H112" ca="1">TRIM(_xlfn.TEXTJOIN(CHAR(9),TRUE,"mass",A112, TEXT(ROUND(B112:G112,1),"0.0")))</f>
        <v>mass	301	347.9	347.9	347.9	0.0	0.0	0.0</v>
      </c>
    </row>
    <row r="113" spans="1:8" x14ac:dyDescent="0.3">
      <c r="A113" s="68">
        <f>TCL_Nodes!B229</f>
        <v>302</v>
      </c>
      <c r="B113" s="65">
        <f ca="1">_xlfn.XLOOKUP(A113,M_Floor!C:C,M_Floor!S:S,0)+_xlfn.XLOOKUP(A113,M_Floor!D:D,M_Floor!S:S,0)+_xlfn.XLOOKUP(A113,M_Floor!E:E,M_Floor!S:S,0)+_xlfn.XLOOKUP(A113,M_Floor!F:F,M_Floor!S:S,0)</f>
        <v>765.46307081422026</v>
      </c>
      <c r="C113" s="65">
        <f t="shared" ref="C113:C120" ca="1" si="5">B113</f>
        <v>765.46307081422026</v>
      </c>
      <c r="D113" s="65">
        <f t="shared" ca="1" si="4"/>
        <v>765.46307081422026</v>
      </c>
      <c r="E113" s="65">
        <v>0</v>
      </c>
      <c r="F113" s="65">
        <v>0</v>
      </c>
      <c r="G113" s="66">
        <v>0</v>
      </c>
      <c r="H113" s="66" t="str" cm="1">
        <f t="array" aca="1" ref="H113" ca="1">TRIM(_xlfn.TEXTJOIN(CHAR(9),TRUE,"mass",A113, TEXT(ROUND(B113:G113,1),"0.0")))</f>
        <v>mass	302	765.5	765.5	765.5	0.0	0.0	0.0</v>
      </c>
    </row>
    <row r="114" spans="1:8" x14ac:dyDescent="0.3">
      <c r="A114" s="68">
        <f>TCL_Nodes!B230</f>
        <v>303</v>
      </c>
      <c r="B114" s="65">
        <f ca="1">_xlfn.XLOOKUP(A114,M_Floor!C:C,M_Floor!S:S,0)+_xlfn.XLOOKUP(A114,M_Floor!D:D,M_Floor!S:S,0)+_xlfn.XLOOKUP(A114,M_Floor!E:E,M_Floor!S:S,0)+_xlfn.XLOOKUP(A114,M_Floor!F:F,M_Floor!S:S,0)</f>
        <v>939.26859948394508</v>
      </c>
      <c r="C114" s="65">
        <f t="shared" ca="1" si="5"/>
        <v>939.26859948394508</v>
      </c>
      <c r="D114" s="65">
        <f t="shared" ca="1" si="4"/>
        <v>939.26859948394508</v>
      </c>
      <c r="E114" s="65">
        <v>0</v>
      </c>
      <c r="F114" s="65">
        <v>0</v>
      </c>
      <c r="G114" s="66">
        <v>0</v>
      </c>
      <c r="H114" s="66" t="str" cm="1">
        <f t="array" aca="1" ref="H114" ca="1">TRIM(_xlfn.TEXTJOIN(CHAR(9),TRUE,"mass",A114, TEXT(ROUND(B114:G114,1),"0.0")))</f>
        <v>mass	303	939.3	939.3	939.3	0.0	0.0	0.0</v>
      </c>
    </row>
    <row r="115" spans="1:8" x14ac:dyDescent="0.3">
      <c r="A115" s="68">
        <f>TCL_Nodes!B231</f>
        <v>304</v>
      </c>
      <c r="B115" s="65">
        <f ca="1">_xlfn.XLOOKUP(A115,M_Floor!C:C,M_Floor!S:S,0)+_xlfn.XLOOKUP(A115,M_Floor!D:D,M_Floor!S:S,0)+_xlfn.XLOOKUP(A115,M_Floor!E:E,M_Floor!S:S,0)+_xlfn.XLOOKUP(A115,M_Floor!F:F,M_Floor!S:S,0)</f>
        <v>939.26859948394508</v>
      </c>
      <c r="C115" s="65">
        <f t="shared" ca="1" si="5"/>
        <v>939.26859948394508</v>
      </c>
      <c r="D115" s="65">
        <f t="shared" ca="1" si="4"/>
        <v>939.26859948394508</v>
      </c>
      <c r="E115" s="65">
        <v>0</v>
      </c>
      <c r="F115" s="65">
        <v>0</v>
      </c>
      <c r="G115" s="66">
        <v>0</v>
      </c>
      <c r="H115" s="66" t="str" cm="1">
        <f t="array" aca="1" ref="H115" ca="1">TRIM(_xlfn.TEXTJOIN(CHAR(9),TRUE,"mass",A115, TEXT(ROUND(B115:G115,1),"0.0")))</f>
        <v>mass	304	939.3	939.3	939.3	0.0	0.0	0.0</v>
      </c>
    </row>
    <row r="116" spans="1:8" x14ac:dyDescent="0.3">
      <c r="A116" s="68">
        <f>TCL_Nodes!B232</f>
        <v>305</v>
      </c>
      <c r="B116" s="65">
        <f ca="1">_xlfn.XLOOKUP(A116,M_Floor!C:C,M_Floor!S:S,0)+_xlfn.XLOOKUP(A116,M_Floor!D:D,M_Floor!S:S,0)+_xlfn.XLOOKUP(A116,M_Floor!E:E,M_Floor!S:S,0)+_xlfn.XLOOKUP(A116,M_Floor!F:F,M_Floor!S:S,0)</f>
        <v>791.30987580275223</v>
      </c>
      <c r="C116" s="65">
        <f t="shared" ca="1" si="5"/>
        <v>791.30987580275223</v>
      </c>
      <c r="D116" s="65">
        <f t="shared" ca="1" si="4"/>
        <v>791.30987580275223</v>
      </c>
      <c r="E116" s="65">
        <v>0</v>
      </c>
      <c r="F116" s="65">
        <v>0</v>
      </c>
      <c r="G116" s="66">
        <v>0</v>
      </c>
      <c r="H116" s="66" t="str" cm="1">
        <f t="array" aca="1" ref="H116" ca="1">TRIM(_xlfn.TEXTJOIN(CHAR(9),TRUE,"mass",A116, TEXT(ROUND(B116:G116,1),"0.0")))</f>
        <v>mass	305	791.3	791.3	791.3	0.0	0.0	0.0</v>
      </c>
    </row>
    <row r="117" spans="1:8" x14ac:dyDescent="0.3">
      <c r="A117" s="68">
        <f>TCL_Nodes!B233</f>
        <v>306</v>
      </c>
      <c r="B117" s="65">
        <f ca="1">_xlfn.XLOOKUP(A117,M_Floor!C:C,M_Floor!S:S,0)+_xlfn.XLOOKUP(A117,M_Floor!D:D,M_Floor!S:S,0)+_xlfn.XLOOKUP(A117,M_Floor!E:E,M_Floor!S:S,0)+_xlfn.XLOOKUP(A117,M_Floor!F:F,M_Floor!S:S,0)</f>
        <v>1172.1138686926606</v>
      </c>
      <c r="C117" s="65">
        <f t="shared" ca="1" si="5"/>
        <v>1172.1138686926606</v>
      </c>
      <c r="D117" s="65">
        <f t="shared" ca="1" si="4"/>
        <v>1172.1138686926606</v>
      </c>
      <c r="E117" s="65">
        <v>0</v>
      </c>
      <c r="F117" s="65">
        <v>0</v>
      </c>
      <c r="G117" s="66">
        <v>0</v>
      </c>
      <c r="H117" s="66" t="str" cm="1">
        <f t="array" aca="1" ref="H117" ca="1">TRIM(_xlfn.TEXTJOIN(CHAR(9),TRUE,"mass",A117, TEXT(ROUND(B117:G117,1),"0.0")))</f>
        <v>mass	306	1172.1	1172.1	1172.1	0.0	0.0	0.0</v>
      </c>
    </row>
    <row r="118" spans="1:8" x14ac:dyDescent="0.3">
      <c r="A118" s="68">
        <f>TCL_Nodes!B234</f>
        <v>307</v>
      </c>
      <c r="B118" s="65">
        <f ca="1">_xlfn.XLOOKUP(A118,M_Floor!C:C,M_Floor!S:S,0)+_xlfn.XLOOKUP(A118,M_Floor!D:D,M_Floor!S:S,0)+_xlfn.XLOOKUP(A118,M_Floor!E:E,M_Floor!S:S,0)+_xlfn.XLOOKUP(A118,M_Floor!F:F,M_Floor!S:S,0)</f>
        <v>1309.5714527522937</v>
      </c>
      <c r="C118" s="65">
        <f t="shared" ca="1" si="5"/>
        <v>1309.5714527522937</v>
      </c>
      <c r="D118" s="65">
        <f t="shared" ca="1" si="4"/>
        <v>1309.5714527522937</v>
      </c>
      <c r="E118" s="65">
        <v>0</v>
      </c>
      <c r="F118" s="65">
        <v>0</v>
      </c>
      <c r="G118" s="66">
        <v>0</v>
      </c>
      <c r="H118" s="66" t="str" cm="1">
        <f t="array" aca="1" ref="H118" ca="1">TRIM(_xlfn.TEXTJOIN(CHAR(9),TRUE,"mass",A118, TEXT(ROUND(B118:G118,1),"0.0")))</f>
        <v>mass	307	1309.6	1309.6	1309.6	0.0	0.0	0.0</v>
      </c>
    </row>
    <row r="119" spans="1:8" x14ac:dyDescent="0.3">
      <c r="A119" s="68">
        <f>TCL_Nodes!B235</f>
        <v>308</v>
      </c>
      <c r="B119" s="65">
        <f ca="1">_xlfn.XLOOKUP(A119,M_Floor!C:C,M_Floor!S:S,0)+_xlfn.XLOOKUP(A119,M_Floor!D:D,M_Floor!S:S,0)+_xlfn.XLOOKUP(A119,M_Floor!E:E,M_Floor!S:S,0)+_xlfn.XLOOKUP(A119,M_Floor!F:F,M_Floor!S:S,0)</f>
        <v>754.58855733944961</v>
      </c>
      <c r="C119" s="65">
        <f t="shared" ca="1" si="5"/>
        <v>754.58855733944961</v>
      </c>
      <c r="D119" s="65">
        <f t="shared" ca="1" si="4"/>
        <v>754.58855733944961</v>
      </c>
      <c r="E119" s="65">
        <v>0</v>
      </c>
      <c r="F119" s="65">
        <v>0</v>
      </c>
      <c r="G119" s="66">
        <v>0</v>
      </c>
      <c r="H119" s="66" t="str" cm="1">
        <f t="array" aca="1" ref="H119" ca="1">TRIM(_xlfn.TEXTJOIN(CHAR(9),TRUE,"mass",A119, TEXT(ROUND(B119:G119,1),"0.0")))</f>
        <v>mass	308	754.6	754.6	754.6	0.0	0.0	0.0</v>
      </c>
    </row>
    <row r="120" spans="1:8" x14ac:dyDescent="0.3">
      <c r="A120" s="68">
        <f>TCL_Nodes!B236</f>
        <v>309</v>
      </c>
      <c r="B120" s="65">
        <f ca="1">_xlfn.XLOOKUP(A120,M_Floor!C:C,M_Floor!S:S,0)+_xlfn.XLOOKUP(A120,M_Floor!D:D,M_Floor!S:S,0)+_xlfn.XLOOKUP(A120,M_Floor!E:E,M_Floor!S:S,0)+_xlfn.XLOOKUP(A120,M_Floor!F:F,M_Floor!S:S,0)</f>
        <v>778.68050521789007</v>
      </c>
      <c r="C120" s="65">
        <f t="shared" ca="1" si="5"/>
        <v>778.68050521789007</v>
      </c>
      <c r="D120" s="65">
        <f t="shared" ca="1" si="4"/>
        <v>778.68050521789007</v>
      </c>
      <c r="E120" s="65">
        <v>0</v>
      </c>
      <c r="F120" s="65">
        <v>0</v>
      </c>
      <c r="G120" s="66">
        <v>0</v>
      </c>
      <c r="H120" s="66" t="str" cm="1">
        <f t="array" aca="1" ref="H120" ca="1">TRIM(_xlfn.TEXTJOIN(CHAR(9),TRUE,"mass",A120, TEXT(ROUND(B120:G120,1),"0.0")))</f>
        <v>mass	309	778.7	778.7	778.7	0.0	0.0	0.0</v>
      </c>
    </row>
    <row r="121" spans="1:8" x14ac:dyDescent="0.3">
      <c r="A121" s="29"/>
      <c r="D121" s="25"/>
      <c r="E121" s="25"/>
      <c r="F121" s="25"/>
    </row>
    <row r="122" spans="1:8" s="61" customFormat="1" x14ac:dyDescent="0.3">
      <c r="A122" s="61" t="s">
        <v>1</v>
      </c>
      <c r="H122" s="61" t="s">
        <v>1</v>
      </c>
    </row>
    <row r="123" spans="1:8" x14ac:dyDescent="0.3">
      <c r="A123" s="66">
        <f>TCL_Nodes!B239</f>
        <v>310</v>
      </c>
      <c r="B123" s="65">
        <f ca="1">_xlfn.XLOOKUP(A123,M_Floor!C:C,M_Floor!S:S,0)+_xlfn.XLOOKUP(A123,M_Floor!D:D,M_Floor!S:S,0)+_xlfn.XLOOKUP(A123,M_Floor!E:E,M_Floor!S:S,0)+_xlfn.XLOOKUP(A123,M_Floor!F:F,M_Floor!S:S,0)</f>
        <v>354.47180189220211</v>
      </c>
      <c r="C123" s="65">
        <f ca="1">B123</f>
        <v>354.47180189220211</v>
      </c>
      <c r="D123" s="65">
        <f t="shared" ref="D123:D128" ca="1" si="6">B123</f>
        <v>354.47180189220211</v>
      </c>
      <c r="E123" s="65">
        <v>0</v>
      </c>
      <c r="F123" s="65">
        <v>0</v>
      </c>
      <c r="G123" s="66">
        <v>0</v>
      </c>
      <c r="H123" s="66" t="str" cm="1">
        <f t="array" aca="1" ref="H123" ca="1">TRIM(_xlfn.TEXTJOIN(CHAR(9),TRUE,"mass",A123, TEXT(ROUND(B123:G123,1),"0.0")))</f>
        <v>mass	310	354.5	354.5	354.5	0.0	0.0	0.0</v>
      </c>
    </row>
    <row r="124" spans="1:8" x14ac:dyDescent="0.3">
      <c r="A124" s="66">
        <f>TCL_Nodes!B240</f>
        <v>311</v>
      </c>
      <c r="B124" s="65">
        <f ca="1">_xlfn.XLOOKUP(A124,M_Floor!C:C,M_Floor!S:S,0)+_xlfn.XLOOKUP(A124,M_Floor!D:D,M_Floor!S:S,0)+_xlfn.XLOOKUP(A124,M_Floor!E:E,M_Floor!S:S,0)+_xlfn.XLOOKUP(A124,M_Floor!F:F,M_Floor!S:S,0)</f>
        <v>779.83796416284451</v>
      </c>
      <c r="C124" s="65">
        <f t="shared" ref="C124:C128" ca="1" si="7">B124</f>
        <v>779.83796416284451</v>
      </c>
      <c r="D124" s="65">
        <f t="shared" ca="1" si="6"/>
        <v>779.83796416284451</v>
      </c>
      <c r="E124" s="65">
        <v>0</v>
      </c>
      <c r="F124" s="65">
        <v>0</v>
      </c>
      <c r="G124" s="66">
        <v>0</v>
      </c>
      <c r="H124" s="66" t="str" cm="1">
        <f t="array" aca="1" ref="H124" ca="1">TRIM(_xlfn.TEXTJOIN(CHAR(9),TRUE,"mass",A124, TEXT(ROUND(B124:G124,1),"0.0")))</f>
        <v>mass	311	779.8	779.8	779.8	0.0	0.0	0.0</v>
      </c>
    </row>
    <row r="125" spans="1:8" x14ac:dyDescent="0.3">
      <c r="A125" s="66">
        <f>TCL_Nodes!B241</f>
        <v>312</v>
      </c>
      <c r="B125" s="65">
        <f ca="1">_xlfn.XLOOKUP(A125,M_Floor!C:C,M_Floor!S:S,0)+_xlfn.XLOOKUP(A125,M_Floor!D:D,M_Floor!S:S,0)+_xlfn.XLOOKUP(A125,M_Floor!E:E,M_Floor!S:S,0)+_xlfn.XLOOKUP(A125,M_Floor!F:F,M_Floor!S:S,0)</f>
        <v>663.36595310907239</v>
      </c>
      <c r="C125" s="65">
        <f t="shared" ca="1" si="7"/>
        <v>663.36595310907239</v>
      </c>
      <c r="D125" s="65">
        <f t="shared" ca="1" si="6"/>
        <v>663.36595310907239</v>
      </c>
      <c r="E125" s="65">
        <v>0</v>
      </c>
      <c r="F125" s="65">
        <v>0</v>
      </c>
      <c r="G125" s="66">
        <v>0</v>
      </c>
      <c r="H125" s="66" t="str" cm="1">
        <f t="array" aca="1" ref="H125" ca="1">TRIM(_xlfn.TEXTJOIN(CHAR(9),TRUE,"mass",A125, TEXT(ROUND(B125:G125,1),"0.0")))</f>
        <v>mass	312	663.4	663.4	663.4	0.0	0.0	0.0</v>
      </c>
    </row>
    <row r="126" spans="1:8" x14ac:dyDescent="0.3">
      <c r="A126" s="66">
        <f>TCL_Nodes!B242</f>
        <v>313</v>
      </c>
      <c r="B126" s="65">
        <f ca="1">_xlfn.XLOOKUP(A126,M_Floor!C:C,M_Floor!S:S,0)+_xlfn.XLOOKUP(A126,M_Floor!D:D,M_Floor!S:S,0)+_xlfn.XLOOKUP(A126,M_Floor!E:E,M_Floor!S:S,0)+_xlfn.XLOOKUP(A126,M_Floor!F:F,M_Floor!S:S,0)</f>
        <v>425.36616227064241</v>
      </c>
      <c r="C126" s="65">
        <f t="shared" ca="1" si="7"/>
        <v>425.36616227064241</v>
      </c>
      <c r="D126" s="65">
        <f t="shared" ca="1" si="6"/>
        <v>425.36616227064241</v>
      </c>
      <c r="E126" s="65">
        <v>0</v>
      </c>
      <c r="F126" s="65">
        <v>0</v>
      </c>
      <c r="G126" s="66">
        <v>0</v>
      </c>
      <c r="H126" s="66" t="str" cm="1">
        <f t="array" aca="1" ref="H126" ca="1">TRIM(_xlfn.TEXTJOIN(CHAR(9),TRUE,"mass",A126, TEXT(ROUND(B126:G126,1),"0.0")))</f>
        <v>mass	313	425.4	425.4	425.4	0.0	0.0	0.0</v>
      </c>
    </row>
    <row r="127" spans="1:8" x14ac:dyDescent="0.3">
      <c r="A127" s="66">
        <f>TCL_Nodes!B243</f>
        <v>314</v>
      </c>
      <c r="B127" s="65">
        <f ca="1">_xlfn.XLOOKUP(A127,M_Floor!C:C,M_Floor!S:S,0)+_xlfn.XLOOKUP(A127,M_Floor!D:D,M_Floor!S:S,0)+_xlfn.XLOOKUP(A127,M_Floor!E:E,M_Floor!S:S,0)+_xlfn.XLOOKUP(A127,M_Floor!F:F,M_Floor!S:S,0)</f>
        <v>1088.7321153797147</v>
      </c>
      <c r="C127" s="65">
        <f t="shared" ca="1" si="7"/>
        <v>1088.7321153797147</v>
      </c>
      <c r="D127" s="65">
        <f t="shared" ca="1" si="6"/>
        <v>1088.7321153797147</v>
      </c>
      <c r="E127" s="65">
        <v>0</v>
      </c>
      <c r="F127" s="65">
        <v>0</v>
      </c>
      <c r="G127" s="66">
        <v>0</v>
      </c>
      <c r="H127" s="66" t="str" cm="1">
        <f t="array" aca="1" ref="H127" ca="1">TRIM(_xlfn.TEXTJOIN(CHAR(9),TRUE,"mass",A127, TEXT(ROUND(B127:G127,1),"0.0")))</f>
        <v>mass	314	1088.7	1088.7	1088.7	0.0	0.0	0.0</v>
      </c>
    </row>
    <row r="128" spans="1:8" x14ac:dyDescent="0.3">
      <c r="A128" s="66">
        <f>TCL_Nodes!B244</f>
        <v>315</v>
      </c>
      <c r="B128" s="65">
        <f ca="1">_xlfn.XLOOKUP(A128,M_Floor!C:C,M_Floor!S:S,0)+_xlfn.XLOOKUP(A128,M_Floor!D:D,M_Floor!S:S,0)+_xlfn.XLOOKUP(A128,M_Floor!E:E,M_Floor!S:S,0)+_xlfn.XLOOKUP(A128,M_Floor!F:F,M_Floor!S:S,0)</f>
        <v>1838.862895005097</v>
      </c>
      <c r="C128" s="65">
        <f t="shared" ca="1" si="7"/>
        <v>1838.862895005097</v>
      </c>
      <c r="D128" s="65">
        <f t="shared" ca="1" si="6"/>
        <v>1838.862895005097</v>
      </c>
      <c r="E128" s="65">
        <v>0</v>
      </c>
      <c r="F128" s="65">
        <v>0</v>
      </c>
      <c r="G128" s="66">
        <v>0</v>
      </c>
      <c r="H128" s="66" t="str" cm="1">
        <f t="array" aca="1" ref="H128" ca="1">TRIM(_xlfn.TEXTJOIN(CHAR(9),TRUE,"mass",A128, TEXT(ROUND(B128:G128,1),"0.0")))</f>
        <v>mass	315	1838.9	1838.9	1838.9	0.0	0.0	0.0</v>
      </c>
    </row>
    <row r="129" spans="4:16" x14ac:dyDescent="0.3">
      <c r="D129" s="25"/>
      <c r="E129" s="5"/>
    </row>
    <row r="130" spans="4:16" x14ac:dyDescent="0.3">
      <c r="D130" s="25"/>
    </row>
    <row r="131" spans="4:16" x14ac:dyDescent="0.3">
      <c r="D131" s="5"/>
    </row>
    <row r="132" spans="4:16" x14ac:dyDescent="0.3">
      <c r="D132" s="25"/>
      <c r="E132" s="5"/>
      <c r="F132" s="42"/>
    </row>
    <row r="133" spans="4:16" x14ac:dyDescent="0.3">
      <c r="D133" s="5"/>
      <c r="E133" s="5"/>
      <c r="F133" s="42"/>
    </row>
    <row r="134" spans="4:16" x14ac:dyDescent="0.3">
      <c r="D134" s="5"/>
    </row>
    <row r="138" spans="4:16" x14ac:dyDescent="0.3">
      <c r="D138" s="25"/>
      <c r="J138" s="25"/>
    </row>
    <row r="139" spans="4:16" x14ac:dyDescent="0.3">
      <c r="P139" s="25"/>
    </row>
    <row r="140" spans="4:16" x14ac:dyDescent="0.3">
      <c r="D140" s="25"/>
      <c r="J140" s="25"/>
    </row>
    <row r="141" spans="4:16" x14ac:dyDescent="0.3">
      <c r="D141" s="25"/>
      <c r="J141" s="25"/>
      <c r="P141" s="25"/>
    </row>
    <row r="142" spans="4:16" x14ac:dyDescent="0.3">
      <c r="P142" s="25"/>
    </row>
    <row r="143" spans="4:16" x14ac:dyDescent="0.3">
      <c r="D143" s="42"/>
      <c r="J143" s="42"/>
    </row>
    <row r="144" spans="4:16" x14ac:dyDescent="0.3">
      <c r="P144" s="42"/>
    </row>
  </sheetData>
  <mergeCells count="1">
    <mergeCell ref="C3:D3"/>
  </mergeCells>
  <pageMargins left="0.7" right="0.7" top="0.78740157499999996" bottom="0.78740157499999996" header="0.3" footer="0.3"/>
  <pageSetup paperSize="9" scale="75" orientation="portrait" r:id="rId1"/>
  <headerFooter>
    <oddHeader>&amp;LMaster Thesis 2023/2024&amp;CSt. Lawrence Parish House,
Petrinja, Croatia&amp;R&amp;G</oddHeader>
    <oddFooter>&amp;L&amp;A&amp;CModel: Initial state&amp;R&amp;P</oddFooter>
  </headerFooter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5BD9-4376-4FBD-B579-9A9C32A0188D}">
  <sheetPr>
    <tabColor theme="4"/>
  </sheetPr>
  <dimension ref="A1:M194"/>
  <sheetViews>
    <sheetView view="pageLayout" zoomScale="55" zoomScaleNormal="100" zoomScalePageLayoutView="55" workbookViewId="0">
      <selection activeCell="I5" sqref="I5"/>
    </sheetView>
  </sheetViews>
  <sheetFormatPr baseColWidth="10" defaultColWidth="6.08203125" defaultRowHeight="14" x14ac:dyDescent="0.3"/>
  <cols>
    <col min="2" max="2" width="9.75" bestFit="1" customWidth="1"/>
    <col min="5" max="5" width="7.5" bestFit="1" customWidth="1"/>
    <col min="6" max="7" width="8" bestFit="1" customWidth="1"/>
    <col min="9" max="9" width="45.83203125" bestFit="1" customWidth="1"/>
  </cols>
  <sheetData>
    <row r="1" spans="1:12" ht="17" thickBot="1" x14ac:dyDescent="0.4">
      <c r="A1" s="60" t="s">
        <v>395</v>
      </c>
      <c r="B1" s="58"/>
      <c r="C1" s="59"/>
      <c r="D1" s="59"/>
      <c r="E1" s="58"/>
      <c r="F1" s="58"/>
      <c r="G1" s="58"/>
      <c r="H1" s="58"/>
      <c r="I1" s="58"/>
    </row>
    <row r="2" spans="1:12" ht="14.5" thickTop="1" x14ac:dyDescent="0.3">
      <c r="A2" s="61" t="s">
        <v>378</v>
      </c>
      <c r="C2" t="s">
        <v>379</v>
      </c>
      <c r="D2" s="25"/>
    </row>
    <row r="3" spans="1:12" x14ac:dyDescent="0.3">
      <c r="A3" s="61" t="s">
        <v>375</v>
      </c>
      <c r="C3" s="140">
        <f ca="1">TODAY()</f>
        <v>45304</v>
      </c>
      <c r="D3" s="140"/>
    </row>
    <row r="4" spans="1:12" x14ac:dyDescent="0.3">
      <c r="A4" s="61" t="s">
        <v>376</v>
      </c>
      <c r="C4" t="s">
        <v>381</v>
      </c>
      <c r="D4" s="25"/>
    </row>
    <row r="5" spans="1:12" x14ac:dyDescent="0.3">
      <c r="A5" s="61" t="s">
        <v>377</v>
      </c>
      <c r="C5" t="s">
        <v>397</v>
      </c>
      <c r="D5" s="25"/>
    </row>
    <row r="6" spans="1:12" x14ac:dyDescent="0.3">
      <c r="A6" s="61"/>
      <c r="E6" s="25"/>
    </row>
    <row r="7" spans="1:12" s="61" customFormat="1" x14ac:dyDescent="0.3">
      <c r="A7" s="61" t="s">
        <v>329</v>
      </c>
    </row>
    <row r="8" spans="1:12" s="61" customFormat="1" x14ac:dyDescent="0.3">
      <c r="A8" s="61" t="s">
        <v>275</v>
      </c>
      <c r="B8" s="61" t="s">
        <v>276</v>
      </c>
      <c r="C8" s="61" t="s">
        <v>278</v>
      </c>
      <c r="D8" s="61" t="s">
        <v>279</v>
      </c>
      <c r="E8" s="61" t="s">
        <v>280</v>
      </c>
      <c r="F8" s="61" t="s">
        <v>281</v>
      </c>
      <c r="G8" s="61" t="s">
        <v>282</v>
      </c>
      <c r="H8" s="61" t="s">
        <v>283</v>
      </c>
      <c r="I8" s="61" t="str">
        <f>TRIM(_xlfn.TEXTJOIN(CHAR(9),TRUE,A8:H8))</f>
        <v>#load	$nodeTag	$FX	$FY	$FZ	$RX	$RY 	$RZ</v>
      </c>
    </row>
    <row r="9" spans="1:12" x14ac:dyDescent="0.3">
      <c r="A9" s="66" t="s">
        <v>277</v>
      </c>
      <c r="B9" s="68">
        <v>1</v>
      </c>
      <c r="C9" s="65">
        <f>_xlfn.XLOOKUP(B9,L_Nodes!A:A,L_Nodes!B:B,0)</f>
        <v>0</v>
      </c>
      <c r="D9" s="65">
        <f>_xlfn.XLOOKUP(B9,L_Nodes!A:A,L_Nodes!C:C,0)</f>
        <v>0</v>
      </c>
      <c r="E9" s="68">
        <f ca="1">_xlfn.XLOOKUP(B9,L_Nodes!A:A,L_Nodes!D:D,0)+_xlfn.XLOOKUP(B9,L_Floor!A:A,L_Floor!I:I,0)+_xlfn.XLOOKUP(B9,L_Roof!A:A,L_Roof!C:C,0)+_xlfn.XLOOKUP(B9,'L_Filling material'!A:A,'L_Filling material'!C:C,0)</f>
        <v>-43952.805</v>
      </c>
      <c r="F9" s="65">
        <f>_xlfn.XLOOKUP(B9,L_Nodes!A:A,L_Nodes!E:E,0)</f>
        <v>0</v>
      </c>
      <c r="G9" s="65">
        <f>_xlfn.XLOOKUP(B9,L_Nodes!A:A,L_Nodes!F:F,0)</f>
        <v>13656</v>
      </c>
      <c r="H9" s="65">
        <f>_xlfn.XLOOKUP(B9,L_Nodes!A:A,L_Nodes!G:G,0)</f>
        <v>0</v>
      </c>
      <c r="I9" s="66" t="str" cm="1">
        <f t="array" aca="1" ref="I9" ca="1">IF(SUM(C9:H9)=0,"",TRIM(_xlfn.TEXTJOIN(CHAR(9),TRUE,A9:B9,TEXT(ROUND(C9:H9,1),"0.0"))))</f>
        <v>load	1	0.0	0.0	-43952.8	0.0	13656.0	0.0</v>
      </c>
      <c r="K9" s="29"/>
      <c r="L9" s="29"/>
    </row>
    <row r="10" spans="1:12" x14ac:dyDescent="0.3">
      <c r="A10" s="66" t="s">
        <v>277</v>
      </c>
      <c r="B10" s="68">
        <v>2</v>
      </c>
      <c r="C10" s="65">
        <f>_xlfn.XLOOKUP(B10,L_Nodes!A:A,L_Nodes!B:B,0)</f>
        <v>0</v>
      </c>
      <c r="D10" s="65">
        <f>_xlfn.XLOOKUP(B10,L_Nodes!A:A,L_Nodes!C:C,0)</f>
        <v>0</v>
      </c>
      <c r="E10" s="68">
        <f ca="1">_xlfn.XLOOKUP(B10,L_Nodes!A:A,L_Nodes!D:D,0)+_xlfn.XLOOKUP(B10,L_Floor!A:A,L_Floor!I:I,0)+_xlfn.XLOOKUP(B10,L_Roof!A:A,L_Roof!C:C,0)+_xlfn.XLOOKUP(B10,'L_Filling material'!A:A,'L_Filling material'!C:C,0)</f>
        <v>-62705.567999999999</v>
      </c>
      <c r="F10" s="65">
        <f>_xlfn.XLOOKUP(B10,L_Nodes!A:A,L_Nodes!E:E,0)</f>
        <v>0</v>
      </c>
      <c r="G10" s="65">
        <f>_xlfn.XLOOKUP(B10,L_Nodes!A:A,L_Nodes!F:F,0)</f>
        <v>-10258</v>
      </c>
      <c r="H10" s="65">
        <f>_xlfn.XLOOKUP(B10,L_Nodes!A:A,L_Nodes!G:G,0)</f>
        <v>0</v>
      </c>
      <c r="I10" s="66" t="str" cm="1">
        <f t="array" aca="1" ref="I10" ca="1">IF(SUM(C10:H10)=0,"",TRIM(_xlfn.TEXTJOIN(CHAR(9),TRUE,A10:B10,TEXT(ROUND(C10:H10,1),"0.0"))))</f>
        <v>load	2	0.0	0.0	-62705.6	0.0	-10258.0	0.0</v>
      </c>
      <c r="K10" s="29"/>
      <c r="L10" s="29"/>
    </row>
    <row r="11" spans="1:12" x14ac:dyDescent="0.3">
      <c r="A11" s="66" t="s">
        <v>277</v>
      </c>
      <c r="B11" s="68">
        <v>3</v>
      </c>
      <c r="C11" s="65">
        <f>_xlfn.XLOOKUP(B11,L_Nodes!A:A,L_Nodes!B:B,0)</f>
        <v>0</v>
      </c>
      <c r="D11" s="65">
        <f>_xlfn.XLOOKUP(B11,L_Nodes!A:A,L_Nodes!C:C,0)</f>
        <v>0</v>
      </c>
      <c r="E11" s="68">
        <f ca="1">_xlfn.XLOOKUP(B11,L_Nodes!A:A,L_Nodes!D:D,0)+_xlfn.XLOOKUP(B11,L_Floor!A:A,L_Floor!I:I,0)+_xlfn.XLOOKUP(B11,L_Roof!A:A,L_Roof!C:C,0)+_xlfn.XLOOKUP(B11,'L_Filling material'!A:A,'L_Filling material'!C:C,0)</f>
        <v>-59635.584000000003</v>
      </c>
      <c r="F11" s="65">
        <f>_xlfn.XLOOKUP(B11,L_Nodes!A:A,L_Nodes!E:E,0)</f>
        <v>0</v>
      </c>
      <c r="G11" s="65">
        <f>_xlfn.XLOOKUP(B11,L_Nodes!A:A,L_Nodes!F:F,0)</f>
        <v>0</v>
      </c>
      <c r="H11" s="65">
        <f>_xlfn.XLOOKUP(B11,L_Nodes!A:A,L_Nodes!G:G,0)</f>
        <v>0</v>
      </c>
      <c r="I11" s="66" t="str" cm="1">
        <f t="array" aca="1" ref="I11" ca="1">IF(SUM(C11:H11)=0,"",TRIM(_xlfn.TEXTJOIN(CHAR(9),TRUE,A11:B11,TEXT(ROUND(C11:H11,1),"0.0"))))</f>
        <v>load	3	0.0	0.0	-59635.6	0.0	0.0	0.0</v>
      </c>
      <c r="K11" s="29"/>
      <c r="L11" s="29"/>
    </row>
    <row r="12" spans="1:12" x14ac:dyDescent="0.3">
      <c r="A12" s="66" t="s">
        <v>277</v>
      </c>
      <c r="B12" s="68">
        <v>4</v>
      </c>
      <c r="C12" s="65">
        <f>_xlfn.XLOOKUP(B12,L_Nodes!A:A,L_Nodes!B:B,0)</f>
        <v>0</v>
      </c>
      <c r="D12" s="65">
        <f>_xlfn.XLOOKUP(B12,L_Nodes!A:A,L_Nodes!C:C,0)</f>
        <v>0</v>
      </c>
      <c r="E12" s="68">
        <f>_xlfn.XLOOKUP(B12,L_Nodes!A:A,L_Nodes!D:D,0)+_xlfn.XLOOKUP(B12,L_Floor!A:A,L_Floor!I:I,0)+_xlfn.XLOOKUP(B12,L_Roof!A:A,L_Roof!C:C,0)+_xlfn.XLOOKUP(B12,'L_Filling material'!A:A,'L_Filling material'!C:C,0)</f>
        <v>0</v>
      </c>
      <c r="F12" s="65">
        <f>_xlfn.XLOOKUP(B12,L_Nodes!A:A,L_Nodes!E:E,0)</f>
        <v>0</v>
      </c>
      <c r="G12" s="65">
        <f>_xlfn.XLOOKUP(B12,L_Nodes!A:A,L_Nodes!F:F,0)</f>
        <v>0</v>
      </c>
      <c r="H12" s="65">
        <f>_xlfn.XLOOKUP(B12,L_Nodes!A:A,L_Nodes!G:G,0)</f>
        <v>0</v>
      </c>
      <c r="I12" s="66" t="str" cm="1">
        <f t="array" ref="I12">IF(SUM(C12:H12)=0,"",TRIM(_xlfn.TEXTJOIN(CHAR(9),TRUE,A12:B12,TEXT(ROUND(C12:H12,1),"0.0"))))</f>
        <v/>
      </c>
      <c r="K12" s="29"/>
      <c r="L12" s="29"/>
    </row>
    <row r="13" spans="1:12" x14ac:dyDescent="0.3">
      <c r="A13" s="66" t="s">
        <v>277</v>
      </c>
      <c r="B13" s="68">
        <v>5</v>
      </c>
      <c r="C13" s="65">
        <f>_xlfn.XLOOKUP(B13,L_Nodes!A:A,L_Nodes!B:B,0)</f>
        <v>0</v>
      </c>
      <c r="D13" s="65">
        <f>_xlfn.XLOOKUP(B13,L_Nodes!A:A,L_Nodes!C:C,0)</f>
        <v>0</v>
      </c>
      <c r="E13" s="68">
        <f ca="1">_xlfn.XLOOKUP(B13,L_Nodes!A:A,L_Nodes!D:D,0)+_xlfn.XLOOKUP(B13,L_Floor!A:A,L_Floor!I:I,0)+_xlfn.XLOOKUP(B13,L_Roof!A:A,L_Roof!C:C,0)+_xlfn.XLOOKUP(B13,'L_Filling material'!A:A,'L_Filling material'!C:C,0)</f>
        <v>-56568.737999999998</v>
      </c>
      <c r="F13" s="65">
        <f>_xlfn.XLOOKUP(B13,L_Nodes!A:A,L_Nodes!E:E,0)</f>
        <v>0</v>
      </c>
      <c r="G13" s="65">
        <f>_xlfn.XLOOKUP(B13,L_Nodes!A:A,L_Nodes!F:F,0)</f>
        <v>10258</v>
      </c>
      <c r="H13" s="65">
        <f>_xlfn.XLOOKUP(B13,L_Nodes!A:A,L_Nodes!G:G,0)</f>
        <v>0</v>
      </c>
      <c r="I13" s="66" t="str" cm="1">
        <f t="array" aca="1" ref="I13" ca="1">IF(SUM(C13:H13)=0,"",TRIM(_xlfn.TEXTJOIN(CHAR(9),TRUE,A13:B13,TEXT(ROUND(C13:H13,1),"0.0"))))</f>
        <v>load	5	0.0	0.0	-56568.7	0.0	10258.0	0.0</v>
      </c>
      <c r="K13" s="29"/>
      <c r="L13" s="29"/>
    </row>
    <row r="14" spans="1:12" x14ac:dyDescent="0.3">
      <c r="A14" s="66" t="s">
        <v>277</v>
      </c>
      <c r="B14" s="68">
        <v>6</v>
      </c>
      <c r="C14" s="65">
        <f>_xlfn.XLOOKUP(B14,L_Nodes!A:A,L_Nodes!B:B,0)</f>
        <v>0</v>
      </c>
      <c r="D14" s="65">
        <f>_xlfn.XLOOKUP(B14,L_Nodes!A:A,L_Nodes!C:C,0)</f>
        <v>0</v>
      </c>
      <c r="E14" s="68">
        <f ca="1">_xlfn.XLOOKUP(B14,L_Nodes!A:A,L_Nodes!D:D,0)+_xlfn.XLOOKUP(B14,L_Floor!A:A,L_Floor!I:I,0)+_xlfn.XLOOKUP(B14,L_Roof!A:A,L_Roof!C:C,0)+_xlfn.XLOOKUP(B14,'L_Filling material'!A:A,'L_Filling material'!C:C,0)</f>
        <v>-26358.165000000001</v>
      </c>
      <c r="F14" s="65">
        <f>_xlfn.XLOOKUP(B14,L_Nodes!A:A,L_Nodes!E:E,0)</f>
        <v>0</v>
      </c>
      <c r="G14" s="65">
        <f>_xlfn.XLOOKUP(B14,L_Nodes!A:A,L_Nodes!F:F,0)</f>
        <v>-13656</v>
      </c>
      <c r="H14" s="65">
        <f>_xlfn.XLOOKUP(B14,L_Nodes!A:A,L_Nodes!G:G,0)</f>
        <v>0</v>
      </c>
      <c r="I14" s="66" t="str" cm="1">
        <f t="array" aca="1" ref="I14" ca="1">IF(SUM(C14:H14)=0,"",TRIM(_xlfn.TEXTJOIN(CHAR(9),TRUE,A14:B14,TEXT(ROUND(C14:H14,1),"0.0"))))</f>
        <v>load	6	0.0	0.0	-26358.2	0.0	-13656.0	0.0</v>
      </c>
      <c r="K14" s="29"/>
      <c r="L14" s="29"/>
    </row>
    <row r="15" spans="1:12" x14ac:dyDescent="0.3">
      <c r="A15" s="66" t="s">
        <v>277</v>
      </c>
      <c r="B15" s="68">
        <v>7</v>
      </c>
      <c r="C15" s="65">
        <f>_xlfn.XLOOKUP(B15,L_Nodes!A:A,L_Nodes!B:B,0)</f>
        <v>0</v>
      </c>
      <c r="D15" s="65">
        <f>_xlfn.XLOOKUP(B15,L_Nodes!A:A,L_Nodes!C:C,0)</f>
        <v>0</v>
      </c>
      <c r="E15" s="68">
        <f>_xlfn.XLOOKUP(B15,L_Nodes!A:A,L_Nodes!D:D,0)+_xlfn.XLOOKUP(B15,L_Floor!A:A,L_Floor!I:I,0)+_xlfn.XLOOKUP(B15,L_Roof!A:A,L_Roof!C:C,0)+_xlfn.XLOOKUP(B15,'L_Filling material'!A:A,'L_Filling material'!C:C,0)</f>
        <v>-34157.439000000006</v>
      </c>
      <c r="F15" s="65">
        <f>_xlfn.XLOOKUP(B15,L_Nodes!A:A,L_Nodes!E:E,0)</f>
        <v>0</v>
      </c>
      <c r="G15" s="65">
        <f>_xlfn.XLOOKUP(B15,L_Nodes!A:A,L_Nodes!F:F,0)</f>
        <v>35524</v>
      </c>
      <c r="H15" s="65">
        <f>_xlfn.XLOOKUP(B15,L_Nodes!A:A,L_Nodes!G:G,0)</f>
        <v>0</v>
      </c>
      <c r="I15" s="66" t="str" cm="1">
        <f t="array" ref="I15">IF(SUM(C15:H15)=0,"",TRIM(_xlfn.TEXTJOIN(CHAR(9),TRUE,A15:B15,TEXT(ROUND(C15:H15,1),"0.0"))))</f>
        <v>load	7	0.0	0.0	-34157.4	0.0	35524.0	0.0</v>
      </c>
      <c r="K15" s="29"/>
      <c r="L15" s="29"/>
    </row>
    <row r="16" spans="1:12" x14ac:dyDescent="0.3">
      <c r="A16" s="66" t="s">
        <v>277</v>
      </c>
      <c r="B16" s="68">
        <v>8</v>
      </c>
      <c r="C16" s="65">
        <f>_xlfn.XLOOKUP(B16,L_Nodes!A:A,L_Nodes!B:B,0)</f>
        <v>0</v>
      </c>
      <c r="D16" s="65">
        <f>_xlfn.XLOOKUP(B16,L_Nodes!A:A,L_Nodes!C:C,0)</f>
        <v>0</v>
      </c>
      <c r="E16" s="68">
        <f ca="1">_xlfn.XLOOKUP(B16,L_Nodes!A:A,L_Nodes!D:D,0)+_xlfn.XLOOKUP(B16,L_Floor!A:A,L_Floor!I:I,0)+_xlfn.XLOOKUP(B16,L_Roof!A:A,L_Roof!C:C,0)+_xlfn.XLOOKUP(B16,'L_Filling material'!A:A,'L_Filling material'!C:C,0)</f>
        <v>-58779.256916058999</v>
      </c>
      <c r="F16" s="65">
        <f>_xlfn.XLOOKUP(B16,L_Nodes!A:A,L_Nodes!E:E,0)</f>
        <v>0</v>
      </c>
      <c r="G16" s="65">
        <f>_xlfn.XLOOKUP(B16,L_Nodes!A:A,L_Nodes!F:F,0)</f>
        <v>-26686</v>
      </c>
      <c r="H16" s="65">
        <f>_xlfn.XLOOKUP(B16,L_Nodes!A:A,L_Nodes!G:G,0)</f>
        <v>0</v>
      </c>
      <c r="I16" s="66" t="str" cm="1">
        <f t="array" aca="1" ref="I16" ca="1">IF(SUM(C16:H16)=0,"",TRIM(_xlfn.TEXTJOIN(CHAR(9),TRUE,A16:B16,TEXT(ROUND(C16:H16,1),"0.0"))))</f>
        <v>load	8	0.0	0.0	-58779.3	0.0	-26686.0	0.0</v>
      </c>
      <c r="K16" s="29"/>
      <c r="L16" s="29"/>
    </row>
    <row r="17" spans="1:12" x14ac:dyDescent="0.3">
      <c r="A17" s="66" t="s">
        <v>277</v>
      </c>
      <c r="B17" s="68">
        <v>9</v>
      </c>
      <c r="C17" s="65">
        <f>_xlfn.XLOOKUP(B17,L_Nodes!A:A,L_Nodes!B:B,0)</f>
        <v>0</v>
      </c>
      <c r="D17" s="65">
        <f>_xlfn.XLOOKUP(B17,L_Nodes!A:A,L_Nodes!C:C,0)</f>
        <v>0</v>
      </c>
      <c r="E17" s="68">
        <f>_xlfn.XLOOKUP(B17,L_Nodes!A:A,L_Nodes!D:D,0)+_xlfn.XLOOKUP(B17,L_Floor!A:A,L_Floor!I:I,0)+_xlfn.XLOOKUP(B17,L_Roof!A:A,L_Roof!C:C,0)+_xlfn.XLOOKUP(B17,'L_Filling material'!A:A,'L_Filling material'!C:C,0)</f>
        <v>-64381.043925000005</v>
      </c>
      <c r="F17" s="65">
        <f>_xlfn.XLOOKUP(B17,L_Nodes!A:A,L_Nodes!E:E,0)</f>
        <v>0</v>
      </c>
      <c r="G17" s="65">
        <f>_xlfn.XLOOKUP(B17,L_Nodes!A:A,L_Nodes!F:F,0)</f>
        <v>0</v>
      </c>
      <c r="H17" s="65">
        <f>_xlfn.XLOOKUP(B17,L_Nodes!A:A,L_Nodes!G:G,0)</f>
        <v>0</v>
      </c>
      <c r="I17" s="66" t="str" cm="1">
        <f t="array" ref="I17">IF(SUM(C17:H17)=0,"",TRIM(_xlfn.TEXTJOIN(CHAR(9),TRUE,A17:B17,TEXT(ROUND(C17:H17,1),"0.0"))))</f>
        <v>load	9	0.0	0.0	-64381.0	0.0	0.0	0.0</v>
      </c>
      <c r="K17" s="29"/>
      <c r="L17" s="29"/>
    </row>
    <row r="18" spans="1:12" x14ac:dyDescent="0.3">
      <c r="A18" s="66" t="s">
        <v>277</v>
      </c>
      <c r="B18" s="68">
        <v>10</v>
      </c>
      <c r="C18" s="65">
        <f>_xlfn.XLOOKUP(B18,L_Nodes!A:A,L_Nodes!B:B,0)</f>
        <v>0</v>
      </c>
      <c r="D18" s="65">
        <f>_xlfn.XLOOKUP(B18,L_Nodes!A:A,L_Nodes!C:C,0)</f>
        <v>0</v>
      </c>
      <c r="E18" s="68">
        <f>_xlfn.XLOOKUP(B18,L_Nodes!A:A,L_Nodes!D:D,0)+_xlfn.XLOOKUP(B18,L_Floor!A:A,L_Floor!I:I,0)+_xlfn.XLOOKUP(B18,L_Roof!A:A,L_Roof!C:C,0)+_xlfn.XLOOKUP(B18,'L_Filling material'!A:A,'L_Filling material'!C:C,0)</f>
        <v>0</v>
      </c>
      <c r="F18" s="65">
        <f>_xlfn.XLOOKUP(B18,L_Nodes!A:A,L_Nodes!E:E,0)</f>
        <v>0</v>
      </c>
      <c r="G18" s="65">
        <f>_xlfn.XLOOKUP(B18,L_Nodes!A:A,L_Nodes!F:F,0)</f>
        <v>0</v>
      </c>
      <c r="H18" s="65">
        <f>_xlfn.XLOOKUP(B18,L_Nodes!A:A,L_Nodes!G:G,0)</f>
        <v>0</v>
      </c>
      <c r="I18" s="66" t="str" cm="1">
        <f t="array" ref="I18">IF(SUM(C18:H18)=0,"",TRIM(_xlfn.TEXTJOIN(CHAR(9),TRUE,A18:B18,TEXT(ROUND(C18:H18,1),"0.0"))))</f>
        <v/>
      </c>
      <c r="K18" s="29"/>
      <c r="L18" s="29"/>
    </row>
    <row r="19" spans="1:12" x14ac:dyDescent="0.3">
      <c r="A19" s="66" t="s">
        <v>277</v>
      </c>
      <c r="B19" s="68">
        <v>11</v>
      </c>
      <c r="C19" s="65">
        <f>_xlfn.XLOOKUP(B19,L_Nodes!A:A,L_Nodes!B:B,0)</f>
        <v>0</v>
      </c>
      <c r="D19" s="65">
        <f>_xlfn.XLOOKUP(B19,L_Nodes!A:A,L_Nodes!C:C,0)</f>
        <v>0</v>
      </c>
      <c r="E19" s="68">
        <f ca="1">_xlfn.XLOOKUP(B19,L_Nodes!A:A,L_Nodes!D:D,0)+_xlfn.XLOOKUP(B19,L_Floor!A:A,L_Floor!I:I,0)+_xlfn.XLOOKUP(B19,L_Roof!A:A,L_Roof!C:C,0)+_xlfn.XLOOKUP(B19,'L_Filling material'!A:A,'L_Filling material'!C:C,0)</f>
        <v>-60600.071087012933</v>
      </c>
      <c r="F19" s="65">
        <f>_xlfn.XLOOKUP(B19,L_Nodes!A:A,L_Nodes!E:E,0)</f>
        <v>0</v>
      </c>
      <c r="G19" s="65">
        <f>_xlfn.XLOOKUP(B19,L_Nodes!A:A,L_Nodes!F:F,0)</f>
        <v>26686</v>
      </c>
      <c r="H19" s="65">
        <f>_xlfn.XLOOKUP(B19,L_Nodes!A:A,L_Nodes!G:G,0)</f>
        <v>0</v>
      </c>
      <c r="I19" s="66" t="str" cm="1">
        <f t="array" aca="1" ref="I19" ca="1">IF(SUM(C19:H19)=0,"",TRIM(_xlfn.TEXTJOIN(CHAR(9),TRUE,A19:B19,TEXT(ROUND(C19:H19,1),"0.0"))))</f>
        <v>load	11	0.0	0.0	-60600.1	0.0	26686.0	0.0</v>
      </c>
      <c r="K19" s="29"/>
      <c r="L19" s="29"/>
    </row>
    <row r="20" spans="1:12" x14ac:dyDescent="0.3">
      <c r="A20" s="66" t="s">
        <v>277</v>
      </c>
      <c r="B20" s="68">
        <v>12</v>
      </c>
      <c r="C20" s="65">
        <f>_xlfn.XLOOKUP(B20,L_Nodes!A:A,L_Nodes!B:B,0)</f>
        <v>0</v>
      </c>
      <c r="D20" s="65">
        <f>_xlfn.XLOOKUP(B20,L_Nodes!A:A,L_Nodes!C:C,0)</f>
        <v>0</v>
      </c>
      <c r="E20" s="68">
        <f ca="1">_xlfn.XLOOKUP(B20,L_Nodes!A:A,L_Nodes!D:D,0)+_xlfn.XLOOKUP(B20,L_Floor!A:A,L_Floor!I:I,0)+_xlfn.XLOOKUP(B20,L_Roof!A:A,L_Roof!C:C,0)+_xlfn.XLOOKUP(B20,'L_Filling material'!A:A,'L_Filling material'!C:C,0)</f>
        <v>-44929.750829200442</v>
      </c>
      <c r="F20" s="65">
        <f>_xlfn.XLOOKUP(B20,L_Nodes!A:A,L_Nodes!E:E,0)</f>
        <v>0</v>
      </c>
      <c r="G20" s="65">
        <f>_xlfn.XLOOKUP(B20,L_Nodes!A:A,L_Nodes!F:F,0)</f>
        <v>-35524</v>
      </c>
      <c r="H20" s="65">
        <f>_xlfn.XLOOKUP(B20,L_Nodes!A:A,L_Nodes!G:G,0)</f>
        <v>0</v>
      </c>
      <c r="I20" s="66" t="str" cm="1">
        <f t="array" aca="1" ref="I20" ca="1">IF(SUM(C20:H20)=0,"",TRIM(_xlfn.TEXTJOIN(CHAR(9),TRUE,A20:B20,TEXT(ROUND(C20:H20,1),"0.0"))))</f>
        <v>load	12	0.0	0.0	-44929.8	0.0	-35524.0	0.0</v>
      </c>
      <c r="K20" s="29"/>
      <c r="L20" s="29"/>
    </row>
    <row r="21" spans="1:12" x14ac:dyDescent="0.3">
      <c r="A21" s="66" t="s">
        <v>277</v>
      </c>
      <c r="B21" s="68">
        <v>13</v>
      </c>
      <c r="C21" s="65">
        <f>_xlfn.XLOOKUP(B21,L_Nodes!A:A,L_Nodes!B:B,0)</f>
        <v>0</v>
      </c>
      <c r="D21" s="65">
        <f>_xlfn.XLOOKUP(B21,L_Nodes!A:A,L_Nodes!C:C,0)</f>
        <v>0</v>
      </c>
      <c r="E21" s="68">
        <f>_xlfn.XLOOKUP(B21,L_Nodes!A:A,L_Nodes!D:D,0)+_xlfn.XLOOKUP(B21,L_Floor!A:A,L_Floor!I:I,0)+_xlfn.XLOOKUP(B21,L_Roof!A:A,L_Roof!C:C,0)+_xlfn.XLOOKUP(B21,'L_Filling material'!A:A,'L_Filling material'!C:C,0)</f>
        <v>-20567.646000000001</v>
      </c>
      <c r="F21" s="65">
        <f>_xlfn.XLOOKUP(B21,L_Nodes!A:A,L_Nodes!E:E,0)</f>
        <v>0</v>
      </c>
      <c r="G21" s="65">
        <f>_xlfn.XLOOKUP(B21,L_Nodes!A:A,L_Nodes!F:F,0)</f>
        <v>21391</v>
      </c>
      <c r="H21" s="65">
        <f>_xlfn.XLOOKUP(B21,L_Nodes!A:A,L_Nodes!G:G,0)</f>
        <v>0</v>
      </c>
      <c r="I21" s="66" t="str" cm="1">
        <f t="array" ref="I21">IF(SUM(C21:H21)=0,"",TRIM(_xlfn.TEXTJOIN(CHAR(9),TRUE,A21:B21,TEXT(ROUND(C21:H21,1),"0.0"))))</f>
        <v>load	13	0.0	0.0	-20567.6	0.0	21391.0	0.0</v>
      </c>
      <c r="K21" s="29"/>
      <c r="L21" s="29"/>
    </row>
    <row r="22" spans="1:12" x14ac:dyDescent="0.3">
      <c r="A22" s="66" t="s">
        <v>277</v>
      </c>
      <c r="B22" s="68">
        <v>14</v>
      </c>
      <c r="C22" s="65">
        <f>_xlfn.XLOOKUP(B22,L_Nodes!A:A,L_Nodes!B:B,0)</f>
        <v>0</v>
      </c>
      <c r="D22" s="65">
        <f>_xlfn.XLOOKUP(B22,L_Nodes!A:A,L_Nodes!C:C,0)</f>
        <v>0</v>
      </c>
      <c r="E22" s="68">
        <f>_xlfn.XLOOKUP(B22,L_Nodes!A:A,L_Nodes!D:D,0)+_xlfn.XLOOKUP(B22,L_Floor!A:A,L_Floor!I:I,0)+_xlfn.XLOOKUP(B22,L_Roof!A:A,L_Roof!C:C,0)+_xlfn.XLOOKUP(B22,'L_Filling material'!A:A,'L_Filling material'!C:C,0)</f>
        <v>-24721.200000000001</v>
      </c>
      <c r="F22" s="65">
        <f>_xlfn.XLOOKUP(B22,L_Nodes!A:A,L_Nodes!E:E,0)</f>
        <v>0</v>
      </c>
      <c r="G22" s="65">
        <f>_xlfn.XLOOKUP(B22,L_Nodes!A:A,L_Nodes!F:F,0)</f>
        <v>-16069</v>
      </c>
      <c r="H22" s="65">
        <f>_xlfn.XLOOKUP(B22,L_Nodes!A:A,L_Nodes!G:G,0)</f>
        <v>0</v>
      </c>
      <c r="I22" s="66" t="str" cm="1">
        <f t="array" ref="I22">IF(SUM(C22:H22)=0,"",TRIM(_xlfn.TEXTJOIN(CHAR(9),TRUE,A22:B22,TEXT(ROUND(C22:H22,1),"0.0"))))</f>
        <v>load	14	0.0	0.0	-24721.2	0.0	-16069.0	0.0</v>
      </c>
      <c r="K22" s="29"/>
      <c r="L22" s="29"/>
    </row>
    <row r="23" spans="1:12" x14ac:dyDescent="0.3">
      <c r="A23" s="66" t="s">
        <v>277</v>
      </c>
      <c r="B23" s="68">
        <v>15</v>
      </c>
      <c r="C23" s="65">
        <f>_xlfn.XLOOKUP(B23,L_Nodes!A:A,L_Nodes!B:B,0)</f>
        <v>0</v>
      </c>
      <c r="D23" s="65">
        <f>_xlfn.XLOOKUP(B23,L_Nodes!A:A,L_Nodes!C:C,0)</f>
        <v>0</v>
      </c>
      <c r="E23" s="68">
        <f>_xlfn.XLOOKUP(B23,L_Nodes!A:A,L_Nodes!D:D,0)+_xlfn.XLOOKUP(B23,L_Floor!A:A,L_Floor!I:I,0)+_xlfn.XLOOKUP(B23,L_Roof!A:A,L_Roof!C:C,0)+_xlfn.XLOOKUP(B23,'L_Filling material'!A:A,'L_Filling material'!C:C,0)</f>
        <v>0</v>
      </c>
      <c r="F23" s="65">
        <f>_xlfn.XLOOKUP(B23,L_Nodes!A:A,L_Nodes!E:E,0)</f>
        <v>0</v>
      </c>
      <c r="G23" s="65">
        <f>_xlfn.XLOOKUP(B23,L_Nodes!A:A,L_Nodes!F:F,0)</f>
        <v>0</v>
      </c>
      <c r="H23" s="65">
        <f>_xlfn.XLOOKUP(B23,L_Nodes!A:A,L_Nodes!G:G,0)</f>
        <v>0</v>
      </c>
      <c r="I23" s="66" t="str" cm="1">
        <f t="array" ref="I23">IF(SUM(C23:H23)=0,"",TRIM(_xlfn.TEXTJOIN(CHAR(9),TRUE,A23:B23,TEXT(ROUND(C23:H23,1),"0.0"))))</f>
        <v/>
      </c>
      <c r="K23" s="29"/>
      <c r="L23" s="29"/>
    </row>
    <row r="24" spans="1:12" x14ac:dyDescent="0.3">
      <c r="A24" s="66" t="s">
        <v>277</v>
      </c>
      <c r="B24" s="68">
        <v>16</v>
      </c>
      <c r="C24" s="65">
        <f>_xlfn.XLOOKUP(B24,L_Nodes!A:A,L_Nodes!B:B,0)</f>
        <v>0</v>
      </c>
      <c r="D24" s="65">
        <f>_xlfn.XLOOKUP(B24,L_Nodes!A:A,L_Nodes!C:C,0)</f>
        <v>0</v>
      </c>
      <c r="E24" s="68">
        <f>_xlfn.XLOOKUP(B24,L_Nodes!A:A,L_Nodes!D:D,0)+_xlfn.XLOOKUP(B24,L_Floor!A:A,L_Floor!I:I,0)+_xlfn.XLOOKUP(B24,L_Roof!A:A,L_Roof!C:C,0)+_xlfn.XLOOKUP(B24,'L_Filling material'!A:A,'L_Filling material'!C:C,0)</f>
        <v>0</v>
      </c>
      <c r="F24" s="65">
        <f>_xlfn.XLOOKUP(B24,L_Nodes!A:A,L_Nodes!E:E,0)</f>
        <v>0</v>
      </c>
      <c r="G24" s="65">
        <f>_xlfn.XLOOKUP(B24,L_Nodes!A:A,L_Nodes!F:F,0)</f>
        <v>0</v>
      </c>
      <c r="H24" s="65">
        <f>_xlfn.XLOOKUP(B24,L_Nodes!A:A,L_Nodes!G:G,0)</f>
        <v>0</v>
      </c>
      <c r="I24" s="66" t="str" cm="1">
        <f t="array" ref="I24">IF(SUM(C24:H24)=0,"",TRIM(_xlfn.TEXTJOIN(CHAR(9),TRUE,A24:B24,TEXT(ROUND(C24:H24,1),"0.0"))))</f>
        <v/>
      </c>
      <c r="K24" s="29"/>
      <c r="L24" s="29"/>
    </row>
    <row r="25" spans="1:12" x14ac:dyDescent="0.3">
      <c r="A25" s="66" t="s">
        <v>277</v>
      </c>
      <c r="B25" s="68">
        <v>17</v>
      </c>
      <c r="C25" s="65">
        <f>_xlfn.XLOOKUP(B25,L_Nodes!A:A,L_Nodes!B:B,0)</f>
        <v>0</v>
      </c>
      <c r="D25" s="65">
        <f>_xlfn.XLOOKUP(B25,L_Nodes!A:A,L_Nodes!C:C,0)</f>
        <v>0</v>
      </c>
      <c r="E25" s="68">
        <f>_xlfn.XLOOKUP(B25,L_Nodes!A:A,L_Nodes!D:D,0)+_xlfn.XLOOKUP(B25,L_Floor!A:A,L_Floor!I:I,0)+_xlfn.XLOOKUP(B25,L_Roof!A:A,L_Roof!C:C,0)+_xlfn.XLOOKUP(B25,'L_Filling material'!A:A,'L_Filling material'!C:C,0)</f>
        <v>-24721.200000000001</v>
      </c>
      <c r="F25" s="65">
        <f>_xlfn.XLOOKUP(B25,L_Nodes!A:A,L_Nodes!E:E,0)</f>
        <v>0</v>
      </c>
      <c r="G25" s="65">
        <f>_xlfn.XLOOKUP(B25,L_Nodes!A:A,L_Nodes!F:F,0)</f>
        <v>16069</v>
      </c>
      <c r="H25" s="65">
        <f>_xlfn.XLOOKUP(B25,L_Nodes!A:A,L_Nodes!G:G,0)</f>
        <v>0</v>
      </c>
      <c r="I25" s="66" t="str" cm="1">
        <f t="array" ref="I25">IF(SUM(C25:H25)=0,"",TRIM(_xlfn.TEXTJOIN(CHAR(9),TRUE,A25:B25,TEXT(ROUND(C25:H25,1),"0.0"))))</f>
        <v>load	17	0.0	0.0	-24721.2	0.0	16069.0	0.0</v>
      </c>
      <c r="K25" s="29"/>
      <c r="L25" s="29"/>
    </row>
    <row r="26" spans="1:12" x14ac:dyDescent="0.3">
      <c r="A26" s="66" t="s">
        <v>277</v>
      </c>
      <c r="B26" s="68">
        <v>18</v>
      </c>
      <c r="C26" s="65">
        <f>_xlfn.XLOOKUP(B26,L_Nodes!A:A,L_Nodes!B:B,0)</f>
        <v>0</v>
      </c>
      <c r="D26" s="65">
        <f>_xlfn.XLOOKUP(B26,L_Nodes!A:A,L_Nodes!C:C,0)</f>
        <v>0</v>
      </c>
      <c r="E26" s="68">
        <f>_xlfn.XLOOKUP(B26,L_Nodes!A:A,L_Nodes!D:D,0)+_xlfn.XLOOKUP(B26,L_Floor!A:A,L_Floor!I:I,0)+_xlfn.XLOOKUP(B26,L_Roof!A:A,L_Roof!C:C,0)+_xlfn.XLOOKUP(B26,'L_Filling material'!A:A,'L_Filling material'!C:C,0)</f>
        <v>-20567.646000000001</v>
      </c>
      <c r="F26" s="65">
        <f>_xlfn.XLOOKUP(B26,L_Nodes!A:A,L_Nodes!E:E,0)</f>
        <v>0</v>
      </c>
      <c r="G26" s="65">
        <f>_xlfn.XLOOKUP(B26,L_Nodes!A:A,L_Nodes!F:F,0)</f>
        <v>-21391</v>
      </c>
      <c r="H26" s="65">
        <f>_xlfn.XLOOKUP(B26,L_Nodes!A:A,L_Nodes!G:G,0)</f>
        <v>0</v>
      </c>
      <c r="I26" s="66" t="str" cm="1">
        <f t="array" ref="I26">IF(SUM(C26:H26)=0,"",TRIM(_xlfn.TEXTJOIN(CHAR(9),TRUE,A26:B26,TEXT(ROUND(C26:H26,1),"0.0"))))</f>
        <v>load	18	0.0	0.0	-20567.6	0.0	-21391.0	0.0</v>
      </c>
      <c r="K26" s="29"/>
      <c r="L26" s="29"/>
    </row>
    <row r="27" spans="1:12" x14ac:dyDescent="0.3">
      <c r="A27" s="66" t="s">
        <v>277</v>
      </c>
      <c r="B27" s="68">
        <v>19</v>
      </c>
      <c r="C27" s="65">
        <f>_xlfn.XLOOKUP(B27,L_Nodes!A:A,L_Nodes!B:B,0)</f>
        <v>0</v>
      </c>
      <c r="D27" s="65">
        <f>_xlfn.XLOOKUP(B27,L_Nodes!A:A,L_Nodes!C:C,0)</f>
        <v>0</v>
      </c>
      <c r="E27" s="68">
        <f ca="1">_xlfn.XLOOKUP(B27,L_Nodes!A:A,L_Nodes!D:D,0)+_xlfn.XLOOKUP(B27,L_Floor!A:A,L_Floor!I:I,0)+_xlfn.XLOOKUP(B27,L_Roof!A:A,L_Roof!C:C,0)+_xlfn.XLOOKUP(B27,'L_Filling material'!A:A,'L_Filling material'!C:C,0)</f>
        <v>-28695.312000000005</v>
      </c>
      <c r="F27" s="65">
        <f>_xlfn.XLOOKUP(B27,L_Nodes!A:A,L_Nodes!E:E,0)</f>
        <v>5613</v>
      </c>
      <c r="G27" s="65">
        <f>_xlfn.XLOOKUP(B27,L_Nodes!A:A,L_Nodes!F:F,0)</f>
        <v>0</v>
      </c>
      <c r="H27" s="65">
        <f>_xlfn.XLOOKUP(B27,L_Nodes!A:A,L_Nodes!G:G,0)</f>
        <v>0</v>
      </c>
      <c r="I27" s="66" t="str" cm="1">
        <f t="array" aca="1" ref="I27" ca="1">IF(SUM(C27:H27)=0,"",TRIM(_xlfn.TEXTJOIN(CHAR(9),TRUE,A27:B27,TEXT(ROUND(C27:H27,1),"0.0"))))</f>
        <v>load	19	0.0	0.0	-28695.3	5613.0	0.0	0.0</v>
      </c>
      <c r="K27" s="29"/>
      <c r="L27" s="29"/>
    </row>
    <row r="28" spans="1:12" x14ac:dyDescent="0.3">
      <c r="A28" s="66" t="s">
        <v>277</v>
      </c>
      <c r="B28" s="68">
        <v>20</v>
      </c>
      <c r="C28" s="65">
        <f>_xlfn.XLOOKUP(B28,L_Nodes!A:A,L_Nodes!B:B,0)</f>
        <v>0</v>
      </c>
      <c r="D28" s="65">
        <f>_xlfn.XLOOKUP(B28,L_Nodes!A:A,L_Nodes!C:C,0)</f>
        <v>0</v>
      </c>
      <c r="E28" s="68">
        <f ca="1">_xlfn.XLOOKUP(B28,L_Nodes!A:A,L_Nodes!D:D,0)+_xlfn.XLOOKUP(B28,L_Floor!A:A,L_Floor!I:I,0)+_xlfn.XLOOKUP(B28,L_Roof!A:A,L_Roof!C:C,0)+_xlfn.XLOOKUP(B28,'L_Filling material'!A:A,'L_Filling material'!C:C,0)</f>
        <v>-52286.754000000008</v>
      </c>
      <c r="F28" s="65">
        <f>_xlfn.XLOOKUP(B28,L_Nodes!A:A,L_Nodes!E:E,0)</f>
        <v>1389</v>
      </c>
      <c r="G28" s="65">
        <f>_xlfn.XLOOKUP(B28,L_Nodes!A:A,L_Nodes!F:F,0)</f>
        <v>0</v>
      </c>
      <c r="H28" s="65">
        <f>_xlfn.XLOOKUP(B28,L_Nodes!A:A,L_Nodes!G:G,0)</f>
        <v>0</v>
      </c>
      <c r="I28" s="66" t="str" cm="1">
        <f t="array" aca="1" ref="I28" ca="1">IF(SUM(C28:H28)=0,"",TRIM(_xlfn.TEXTJOIN(CHAR(9),TRUE,A28:B28,TEXT(ROUND(C28:H28,1),"0.0"))))</f>
        <v>load	20	0.0	0.0	-52286.8	1389.0	0.0	0.0</v>
      </c>
      <c r="K28" s="29"/>
      <c r="L28" s="29"/>
    </row>
    <row r="29" spans="1:12" x14ac:dyDescent="0.3">
      <c r="A29" s="66" t="s">
        <v>277</v>
      </c>
      <c r="B29" s="68">
        <v>21</v>
      </c>
      <c r="C29" s="65">
        <f>_xlfn.XLOOKUP(B29,L_Nodes!A:A,L_Nodes!B:B,0)</f>
        <v>0</v>
      </c>
      <c r="D29" s="65">
        <f>_xlfn.XLOOKUP(B29,L_Nodes!A:A,L_Nodes!C:C,0)</f>
        <v>0</v>
      </c>
      <c r="E29" s="68">
        <f ca="1">_xlfn.XLOOKUP(B29,L_Nodes!A:A,L_Nodes!D:D,0)+_xlfn.XLOOKUP(B29,L_Floor!A:A,L_Floor!I:I,0)+_xlfn.XLOOKUP(B29,L_Roof!A:A,L_Roof!C:C,0)+_xlfn.XLOOKUP(B29,'L_Filling material'!A:A,'L_Filling material'!C:C,0)</f>
        <v>-21406.992000000002</v>
      </c>
      <c r="F29" s="65">
        <f>_xlfn.XLOOKUP(B29,L_Nodes!A:A,L_Nodes!E:E,0)</f>
        <v>16408</v>
      </c>
      <c r="G29" s="65">
        <f>_xlfn.XLOOKUP(B29,L_Nodes!A:A,L_Nodes!F:F,0)</f>
        <v>0</v>
      </c>
      <c r="H29" s="65">
        <f>_xlfn.XLOOKUP(B29,L_Nodes!A:A,L_Nodes!G:G,0)</f>
        <v>0</v>
      </c>
      <c r="I29" s="66" t="str" cm="1">
        <f t="array" aca="1" ref="I29" ca="1">IF(SUM(C29:H29)=0,"",TRIM(_xlfn.TEXTJOIN(CHAR(9),TRUE,A29:B29,TEXT(ROUND(C29:H29,1),"0.0"))))</f>
        <v>load	21	0.0	0.0	-21407.0	16408.0	0.0	0.0</v>
      </c>
      <c r="K29" s="29"/>
      <c r="L29" s="29"/>
    </row>
    <row r="30" spans="1:12" x14ac:dyDescent="0.3">
      <c r="A30" s="66" t="s">
        <v>277</v>
      </c>
      <c r="B30" s="68">
        <v>22</v>
      </c>
      <c r="C30" s="65">
        <f>_xlfn.XLOOKUP(B30,L_Nodes!A:A,L_Nodes!B:B,0)</f>
        <v>0</v>
      </c>
      <c r="D30" s="65">
        <f>_xlfn.XLOOKUP(B30,L_Nodes!A:A,L_Nodes!C:C,0)</f>
        <v>0</v>
      </c>
      <c r="E30" s="68">
        <f ca="1">_xlfn.XLOOKUP(B30,L_Nodes!A:A,L_Nodes!D:D,0)+_xlfn.XLOOKUP(B30,L_Floor!A:A,L_Floor!I:I,0)+_xlfn.XLOOKUP(B30,L_Roof!A:A,L_Roof!C:C,0)+_xlfn.XLOOKUP(B30,'L_Filling material'!A:A,'L_Filling material'!C:C,0)</f>
        <v>-85404.613377339934</v>
      </c>
      <c r="F30" s="65">
        <f>_xlfn.XLOOKUP(B30,L_Nodes!A:A,L_Nodes!E:E,0)</f>
        <v>14602</v>
      </c>
      <c r="G30" s="65">
        <f>_xlfn.XLOOKUP(B30,L_Nodes!A:A,L_Nodes!F:F,0)</f>
        <v>0</v>
      </c>
      <c r="H30" s="65">
        <f>_xlfn.XLOOKUP(B30,L_Nodes!A:A,L_Nodes!G:G,0)</f>
        <v>0</v>
      </c>
      <c r="I30" s="66" t="str" cm="1">
        <f t="array" aca="1" ref="I30" ca="1">IF(SUM(C30:H30)=0,"",TRIM(_xlfn.TEXTJOIN(CHAR(9),TRUE,A30:B30,TEXT(ROUND(C30:H30,1),"0.0"))))</f>
        <v>load	22	0.0	0.0	-85404.6	14602.0	0.0	0.0</v>
      </c>
      <c r="K30" s="29"/>
      <c r="L30" s="29"/>
    </row>
    <row r="31" spans="1:12" x14ac:dyDescent="0.3">
      <c r="A31" s="66" t="s">
        <v>277</v>
      </c>
      <c r="B31" s="68">
        <v>23</v>
      </c>
      <c r="C31" s="65">
        <f>_xlfn.XLOOKUP(B31,L_Nodes!A:A,L_Nodes!B:B,0)</f>
        <v>0</v>
      </c>
      <c r="D31" s="65">
        <f>_xlfn.XLOOKUP(B31,L_Nodes!A:A,L_Nodes!C:C,0)</f>
        <v>0</v>
      </c>
      <c r="E31" s="68">
        <f ca="1">_xlfn.XLOOKUP(B31,L_Nodes!A:A,L_Nodes!D:D,0)+_xlfn.XLOOKUP(B31,L_Floor!A:A,L_Floor!I:I,0)+_xlfn.XLOOKUP(B31,L_Roof!A:A,L_Roof!C:C,0)+_xlfn.XLOOKUP(B31,'L_Filling material'!A:A,'L_Filling material'!C:C,0)</f>
        <v>-120219.32237733995</v>
      </c>
      <c r="F31" s="65">
        <f>_xlfn.XLOOKUP(B31,L_Nodes!A:A,L_Nodes!E:E,0)</f>
        <v>3613</v>
      </c>
      <c r="G31" s="65">
        <f>_xlfn.XLOOKUP(B31,L_Nodes!A:A,L_Nodes!F:F,0)</f>
        <v>0</v>
      </c>
      <c r="H31" s="65">
        <f>_xlfn.XLOOKUP(B31,L_Nodes!A:A,L_Nodes!G:G,0)</f>
        <v>0</v>
      </c>
      <c r="I31" s="66" t="str" cm="1">
        <f t="array" aca="1" ref="I31" ca="1">IF(SUM(C31:H31)=0,"",TRIM(_xlfn.TEXTJOIN(CHAR(9),TRUE,A31:B31,TEXT(ROUND(C31:H31,1),"0.0"))))</f>
        <v>load	23	0.0	0.0	-120219.3	3613.0	0.0	0.0</v>
      </c>
      <c r="K31" s="29"/>
      <c r="L31" s="29"/>
    </row>
    <row r="32" spans="1:12" x14ac:dyDescent="0.3">
      <c r="A32" s="66" t="s">
        <v>277</v>
      </c>
      <c r="B32" s="68">
        <v>24</v>
      </c>
      <c r="C32" s="65">
        <f>_xlfn.XLOOKUP(B32,L_Nodes!A:A,L_Nodes!B:B,0)</f>
        <v>0</v>
      </c>
      <c r="D32" s="65">
        <f>_xlfn.XLOOKUP(B32,L_Nodes!A:A,L_Nodes!C:C,0)</f>
        <v>0</v>
      </c>
      <c r="E32" s="68">
        <f>_xlfn.XLOOKUP(B32,L_Nodes!A:A,L_Nodes!D:D,0)+_xlfn.XLOOKUP(B32,L_Floor!A:A,L_Floor!I:I,0)+_xlfn.XLOOKUP(B32,L_Roof!A:A,L_Roof!C:C,0)+_xlfn.XLOOKUP(B32,'L_Filling material'!A:A,'L_Filling material'!C:C,0)</f>
        <v>-37441.826999999997</v>
      </c>
      <c r="F32" s="65">
        <f>_xlfn.XLOOKUP(B32,L_Nodes!A:A,L_Nodes!E:E,0)</f>
        <v>42684</v>
      </c>
      <c r="G32" s="65">
        <f>_xlfn.XLOOKUP(B32,L_Nodes!A:A,L_Nodes!F:F,0)</f>
        <v>0</v>
      </c>
      <c r="H32" s="65">
        <f>_xlfn.XLOOKUP(B32,L_Nodes!A:A,L_Nodes!G:G,0)</f>
        <v>0</v>
      </c>
      <c r="I32" s="66" t="str" cm="1">
        <f t="array" ref="I32">IF(SUM(C32:H32)=0,"",TRIM(_xlfn.TEXTJOIN(CHAR(9),TRUE,A32:B32,TEXT(ROUND(C32:H32,1),"0.0"))))</f>
        <v>load	24	0.0	0.0	-37441.8	42684.0	0.0	0.0</v>
      </c>
      <c r="K32" s="29"/>
      <c r="L32" s="29"/>
    </row>
    <row r="33" spans="1:12" x14ac:dyDescent="0.3">
      <c r="A33" s="66" t="s">
        <v>277</v>
      </c>
      <c r="B33" s="68">
        <v>25</v>
      </c>
      <c r="C33" s="65">
        <f>_xlfn.XLOOKUP(B33,L_Nodes!A:A,L_Nodes!B:B,0)</f>
        <v>0</v>
      </c>
      <c r="D33" s="65">
        <f>_xlfn.XLOOKUP(B33,L_Nodes!A:A,L_Nodes!C:C,0)</f>
        <v>0</v>
      </c>
      <c r="E33" s="68">
        <f>_xlfn.XLOOKUP(B33,L_Nodes!A:A,L_Nodes!D:D,0)+_xlfn.XLOOKUP(B33,L_Floor!A:A,L_Floor!I:I,0)+_xlfn.XLOOKUP(B33,L_Roof!A:A,L_Roof!C:C,0)+_xlfn.XLOOKUP(B33,'L_Filling material'!A:A,'L_Filling material'!C:C,0)</f>
        <v>0</v>
      </c>
      <c r="F33" s="65">
        <f>_xlfn.XLOOKUP(B33,L_Nodes!A:A,L_Nodes!E:E,0)</f>
        <v>0</v>
      </c>
      <c r="G33" s="65">
        <f>_xlfn.XLOOKUP(B33,L_Nodes!A:A,L_Nodes!F:F,0)</f>
        <v>0</v>
      </c>
      <c r="H33" s="65">
        <f>_xlfn.XLOOKUP(B33,L_Nodes!A:A,L_Nodes!G:G,0)</f>
        <v>0</v>
      </c>
      <c r="I33" s="66" t="str" cm="1">
        <f t="array" ref="I33">IF(SUM(C33:H33)=0,"",TRIM(_xlfn.TEXTJOIN(CHAR(9),TRUE,A33:B33,TEXT(ROUND(C33:H33,1),"0.0"))))</f>
        <v/>
      </c>
      <c r="K33" s="29"/>
      <c r="L33" s="29"/>
    </row>
    <row r="34" spans="1:12" x14ac:dyDescent="0.3">
      <c r="A34" s="66" t="s">
        <v>277</v>
      </c>
      <c r="B34" s="68">
        <v>26</v>
      </c>
      <c r="C34" s="65">
        <f>_xlfn.XLOOKUP(B34,L_Nodes!A:A,L_Nodes!B:B,0)</f>
        <v>0</v>
      </c>
      <c r="D34" s="65">
        <f>_xlfn.XLOOKUP(B34,L_Nodes!A:A,L_Nodes!C:C,0)</f>
        <v>0</v>
      </c>
      <c r="E34" s="68">
        <f>_xlfn.XLOOKUP(B34,L_Nodes!A:A,L_Nodes!D:D,0)+_xlfn.XLOOKUP(B34,L_Floor!A:A,L_Floor!I:I,0)+_xlfn.XLOOKUP(B34,L_Roof!A:A,L_Roof!C:C,0)+_xlfn.XLOOKUP(B34,'L_Filling material'!A:A,'L_Filling material'!C:C,0)</f>
        <v>0</v>
      </c>
      <c r="F34" s="65">
        <f>_xlfn.XLOOKUP(B34,L_Nodes!A:A,L_Nodes!E:E,0)</f>
        <v>0</v>
      </c>
      <c r="G34" s="65">
        <f>_xlfn.XLOOKUP(B34,L_Nodes!A:A,L_Nodes!F:F,0)</f>
        <v>0</v>
      </c>
      <c r="H34" s="65">
        <f>_xlfn.XLOOKUP(B34,L_Nodes!A:A,L_Nodes!G:G,0)</f>
        <v>0</v>
      </c>
      <c r="I34" s="66" t="str" cm="1">
        <f t="array" ref="I34">IF(SUM(C34:H34)=0,"",TRIM(_xlfn.TEXTJOIN(CHAR(9),TRUE,A34:B34,TEXT(ROUND(C34:H34,1),"0.0"))))</f>
        <v/>
      </c>
      <c r="K34" s="29"/>
      <c r="L34" s="29"/>
    </row>
    <row r="35" spans="1:12" x14ac:dyDescent="0.3">
      <c r="A35" s="66" t="s">
        <v>277</v>
      </c>
      <c r="B35" s="68">
        <v>27</v>
      </c>
      <c r="C35" s="65">
        <f>_xlfn.XLOOKUP(B35,L_Nodes!A:A,L_Nodes!B:B,0)</f>
        <v>0</v>
      </c>
      <c r="D35" s="65">
        <f>_xlfn.XLOOKUP(B35,L_Nodes!A:A,L_Nodes!C:C,0)</f>
        <v>0</v>
      </c>
      <c r="E35" s="68">
        <f>_xlfn.XLOOKUP(B35,L_Nodes!A:A,L_Nodes!D:D,0)+_xlfn.XLOOKUP(B35,L_Floor!A:A,L_Floor!I:I,0)+_xlfn.XLOOKUP(B35,L_Roof!A:A,L_Roof!C:C,0)+_xlfn.XLOOKUP(B35,'L_Filling material'!A:A,'L_Filling material'!C:C,0)</f>
        <v>-22545.342000000001</v>
      </c>
      <c r="F35" s="65">
        <f>_xlfn.XLOOKUP(B35,L_Nodes!A:A,L_Nodes!E:E,0)</f>
        <v>25702</v>
      </c>
      <c r="G35" s="65">
        <f>_xlfn.XLOOKUP(B35,L_Nodes!A:A,L_Nodes!F:F,0)</f>
        <v>0</v>
      </c>
      <c r="H35" s="65">
        <f>_xlfn.XLOOKUP(B35,L_Nodes!A:A,L_Nodes!G:G,0)</f>
        <v>0</v>
      </c>
      <c r="I35" s="66" t="str" cm="1">
        <f t="array" ref="I35">IF(SUM(C35:H35)=0,"",TRIM(_xlfn.TEXTJOIN(CHAR(9),TRUE,A35:B35,TEXT(ROUND(C35:H35,1),"0.0"))))</f>
        <v>load	27	0.0	0.0	-22545.3	25702.0	0.0	0.0</v>
      </c>
    </row>
    <row r="36" spans="1:12" x14ac:dyDescent="0.3">
      <c r="A36" s="66" t="s">
        <v>277</v>
      </c>
      <c r="B36" s="68">
        <v>28</v>
      </c>
      <c r="C36" s="65">
        <f>_xlfn.XLOOKUP(B36,L_Nodes!A:A,L_Nodes!B:B,0)</f>
        <v>0</v>
      </c>
      <c r="D36" s="65">
        <f>_xlfn.XLOOKUP(B36,L_Nodes!A:A,L_Nodes!C:C,0)</f>
        <v>0</v>
      </c>
      <c r="E36" s="68">
        <f ca="1">_xlfn.XLOOKUP(B36,L_Nodes!A:A,L_Nodes!D:D,0)+_xlfn.XLOOKUP(B36,L_Floor!A:A,L_Floor!I:I,0)+_xlfn.XLOOKUP(B36,L_Roof!A:A,L_Roof!C:C,0)+_xlfn.XLOOKUP(B36,'L_Filling material'!A:A,'L_Filling material'!C:C,0)</f>
        <v>-72373.434999999998</v>
      </c>
      <c r="F36" s="65">
        <f>_xlfn.XLOOKUP(B36,L_Nodes!A:A,L_Nodes!E:E,0)</f>
        <v>0</v>
      </c>
      <c r="G36" s="65">
        <f>_xlfn.XLOOKUP(B36,L_Nodes!A:A,L_Nodes!F:F,0)</f>
        <v>9374</v>
      </c>
      <c r="H36" s="65">
        <f>_xlfn.XLOOKUP(B36,L_Nodes!A:A,L_Nodes!G:G,0)</f>
        <v>0</v>
      </c>
      <c r="I36" s="66" t="str" cm="1">
        <f t="array" aca="1" ref="I36" ca="1">IF(SUM(C36:H36)=0,"",TRIM(_xlfn.TEXTJOIN(CHAR(9),TRUE,A36:B36,TEXT(ROUND(C36:H36,1),"0.0"))))</f>
        <v>load	28	0.0	0.0	-72373.4	0.0	9374.0	0.0</v>
      </c>
    </row>
    <row r="37" spans="1:12" x14ac:dyDescent="0.3">
      <c r="A37" s="66" t="s">
        <v>277</v>
      </c>
      <c r="B37" s="68">
        <v>29</v>
      </c>
      <c r="C37" s="65">
        <f>_xlfn.XLOOKUP(B37,L_Nodes!A:A,L_Nodes!B:B,0)</f>
        <v>0</v>
      </c>
      <c r="D37" s="65">
        <f>_xlfn.XLOOKUP(B37,L_Nodes!A:A,L_Nodes!C:C,0)</f>
        <v>0</v>
      </c>
      <c r="E37" s="68">
        <f ca="1">_xlfn.XLOOKUP(B37,L_Nodes!A:A,L_Nodes!D:D,0)+_xlfn.XLOOKUP(B37,L_Floor!A:A,L_Floor!I:I,0)+_xlfn.XLOOKUP(B37,L_Roof!A:A,L_Roof!C:C,0)+_xlfn.XLOOKUP(B37,'L_Filling material'!A:A,'L_Filling material'!C:C,0)</f>
        <v>-66608.457999999999</v>
      </c>
      <c r="F37" s="65">
        <f>_xlfn.XLOOKUP(B37,L_Nodes!A:A,L_Nodes!E:E,0)</f>
        <v>0</v>
      </c>
      <c r="G37" s="65">
        <f>_xlfn.XLOOKUP(B37,L_Nodes!A:A,L_Nodes!F:F,0)</f>
        <v>-15908</v>
      </c>
      <c r="H37" s="65">
        <f>_xlfn.XLOOKUP(B37,L_Nodes!A:A,L_Nodes!G:G,0)</f>
        <v>0</v>
      </c>
      <c r="I37" s="66" t="str" cm="1">
        <f t="array" aca="1" ref="I37" ca="1">IF(SUM(C37:H37)=0,"",TRIM(_xlfn.TEXTJOIN(CHAR(9),TRUE,A37:B37,TEXT(ROUND(C37:H37,1),"0.0"))))</f>
        <v>load	29	0.0	0.0	-66608.5	0.0	-15908.0	0.0</v>
      </c>
    </row>
    <row r="38" spans="1:12" x14ac:dyDescent="0.3">
      <c r="A38" s="66" t="s">
        <v>277</v>
      </c>
      <c r="B38" s="68">
        <v>30</v>
      </c>
      <c r="C38" s="65">
        <f>_xlfn.XLOOKUP(B38,L_Nodes!A:A,L_Nodes!B:B,0)</f>
        <v>0</v>
      </c>
      <c r="D38" s="65">
        <f>_xlfn.XLOOKUP(B38,L_Nodes!A:A,L_Nodes!C:C,0)</f>
        <v>0</v>
      </c>
      <c r="E38" s="68">
        <f ca="1">_xlfn.XLOOKUP(B38,L_Nodes!A:A,L_Nodes!D:D,0)+_xlfn.XLOOKUP(B38,L_Floor!A:A,L_Floor!I:I,0)+_xlfn.XLOOKUP(B38,L_Roof!A:A,L_Roof!C:C,0)+_xlfn.XLOOKUP(B38,'L_Filling material'!A:A,'L_Filling material'!C:C,0)</f>
        <v>-85353.114999999991</v>
      </c>
      <c r="F38" s="65">
        <f>_xlfn.XLOOKUP(B38,L_Nodes!A:A,L_Nodes!E:E,0)</f>
        <v>0</v>
      </c>
      <c r="G38" s="65">
        <f>_xlfn.XLOOKUP(B38,L_Nodes!A:A,L_Nodes!F:F,0)</f>
        <v>-9374</v>
      </c>
      <c r="H38" s="65">
        <f>_xlfn.XLOOKUP(B38,L_Nodes!A:A,L_Nodes!G:G,0)</f>
        <v>0</v>
      </c>
      <c r="I38" s="66" t="str" cm="1">
        <f t="array" aca="1" ref="I38" ca="1">IF(SUM(C38:H38)=0,"",TRIM(_xlfn.TEXTJOIN(CHAR(9),TRUE,A38:B38,TEXT(ROUND(C38:H38,1),"0.0"))))</f>
        <v>load	30	0.0	0.0	-85353.1	0.0	-9374.0	0.0</v>
      </c>
    </row>
    <row r="39" spans="1:12" x14ac:dyDescent="0.3">
      <c r="A39" s="66" t="s">
        <v>277</v>
      </c>
      <c r="B39" s="68">
        <v>31</v>
      </c>
      <c r="C39" s="65">
        <f>_xlfn.XLOOKUP(B39,L_Nodes!A:A,L_Nodes!B:B,0)</f>
        <v>0</v>
      </c>
      <c r="D39" s="65">
        <f>_xlfn.XLOOKUP(B39,L_Nodes!A:A,L_Nodes!C:C,0)</f>
        <v>0</v>
      </c>
      <c r="E39" s="68">
        <f ca="1">_xlfn.XLOOKUP(B39,L_Nodes!A:A,L_Nodes!D:D,0)+_xlfn.XLOOKUP(B39,L_Floor!A:A,L_Floor!I:I,0)+_xlfn.XLOOKUP(B39,L_Roof!A:A,L_Roof!C:C,0)+_xlfn.XLOOKUP(B39,'L_Filling material'!A:A,'L_Filling material'!C:C,0)</f>
        <v>-43534.205000000002</v>
      </c>
      <c r="F39" s="65">
        <f>_xlfn.XLOOKUP(B39,L_Nodes!A:A,L_Nodes!E:E,0)</f>
        <v>0</v>
      </c>
      <c r="G39" s="65">
        <f>_xlfn.XLOOKUP(B39,L_Nodes!A:A,L_Nodes!F:F,0)</f>
        <v>13656</v>
      </c>
      <c r="H39" s="65">
        <f>_xlfn.XLOOKUP(B39,L_Nodes!A:A,L_Nodes!G:G,0)</f>
        <v>0</v>
      </c>
      <c r="I39" s="66" t="str" cm="1">
        <f t="array" aca="1" ref="I39" ca="1">IF(SUM(C39:H39)=0,"",TRIM(_xlfn.TEXTJOIN(CHAR(9),TRUE,A39:B39,TEXT(ROUND(C39:H39,1),"0.0"))))</f>
        <v>load	31	0.0	0.0	-43534.2	0.0	13656.0	0.0</v>
      </c>
    </row>
    <row r="40" spans="1:12" x14ac:dyDescent="0.3">
      <c r="A40" s="66" t="s">
        <v>277</v>
      </c>
      <c r="B40" s="68">
        <v>32</v>
      </c>
      <c r="C40" s="65">
        <f>_xlfn.XLOOKUP(B40,L_Nodes!A:A,L_Nodes!B:B,0)</f>
        <v>0</v>
      </c>
      <c r="D40" s="65">
        <f>_xlfn.XLOOKUP(B40,L_Nodes!A:A,L_Nodes!C:C,0)</f>
        <v>0</v>
      </c>
      <c r="E40" s="68">
        <f ca="1">_xlfn.XLOOKUP(B40,L_Nodes!A:A,L_Nodes!D:D,0)+_xlfn.XLOOKUP(B40,L_Floor!A:A,L_Floor!I:I,0)+_xlfn.XLOOKUP(B40,L_Roof!A:A,L_Roof!C:C,0)+_xlfn.XLOOKUP(B40,'L_Filling material'!A:A,'L_Filling material'!C:C,0)</f>
        <v>-139336.56557147461</v>
      </c>
      <c r="F40" s="65">
        <f>_xlfn.XLOOKUP(B40,L_Nodes!A:A,L_Nodes!E:E,0)</f>
        <v>0</v>
      </c>
      <c r="G40" s="65">
        <f>_xlfn.XLOOKUP(B40,L_Nodes!A:A,L_Nodes!F:F,0)</f>
        <v>24387</v>
      </c>
      <c r="H40" s="65">
        <f>_xlfn.XLOOKUP(B40,L_Nodes!A:A,L_Nodes!G:G,0)</f>
        <v>0</v>
      </c>
      <c r="I40" s="66" t="str" cm="1">
        <f t="array" aca="1" ref="I40" ca="1">IF(SUM(C40:H40)=0,"",TRIM(_xlfn.TEXTJOIN(CHAR(9),TRUE,A40:B40,TEXT(ROUND(C40:H40,1),"0.0"))))</f>
        <v>load	32	0.0	0.0	-139336.6	0.0	24387.0	0.0</v>
      </c>
    </row>
    <row r="41" spans="1:12" x14ac:dyDescent="0.3">
      <c r="A41" s="66" t="s">
        <v>277</v>
      </c>
      <c r="B41" s="68">
        <v>33</v>
      </c>
      <c r="C41" s="65">
        <f>_xlfn.XLOOKUP(B41,L_Nodes!A:A,L_Nodes!B:B,0)</f>
        <v>0</v>
      </c>
      <c r="D41" s="65">
        <f>_xlfn.XLOOKUP(B41,L_Nodes!A:A,L_Nodes!C:C,0)</f>
        <v>0</v>
      </c>
      <c r="E41" s="68">
        <f ca="1">_xlfn.XLOOKUP(B41,L_Nodes!A:A,L_Nodes!D:D,0)+_xlfn.XLOOKUP(B41,L_Floor!A:A,L_Floor!I:I,0)+_xlfn.XLOOKUP(B41,L_Roof!A:A,L_Roof!C:C,0)+_xlfn.XLOOKUP(B41,'L_Filling material'!A:A,'L_Filling material'!C:C,0)</f>
        <v>-130066.92515776108</v>
      </c>
      <c r="F41" s="65">
        <f>_xlfn.XLOOKUP(B41,L_Nodes!A:A,L_Nodes!E:E,0)</f>
        <v>0</v>
      </c>
      <c r="G41" s="65">
        <f>_xlfn.XLOOKUP(B41,L_Nodes!A:A,L_Nodes!F:F,0)</f>
        <v>-41383</v>
      </c>
      <c r="H41" s="65">
        <f>_xlfn.XLOOKUP(B41,L_Nodes!A:A,L_Nodes!G:G,0)</f>
        <v>0</v>
      </c>
      <c r="I41" s="66" t="str" cm="1">
        <f t="array" aca="1" ref="I41" ca="1">IF(SUM(C41:H41)=0,"",TRIM(_xlfn.TEXTJOIN(CHAR(9),TRUE,A41:B41,TEXT(ROUND(C41:H41,1),"0.0"))))</f>
        <v>load	33	0.0	0.0	-130066.9	0.0	-41383.0	0.0</v>
      </c>
    </row>
    <row r="42" spans="1:12" x14ac:dyDescent="0.3">
      <c r="A42" s="66" t="s">
        <v>277</v>
      </c>
      <c r="B42" s="68">
        <v>34</v>
      </c>
      <c r="C42" s="65">
        <f>_xlfn.XLOOKUP(B42,L_Nodes!A:A,L_Nodes!B:B,0)</f>
        <v>0</v>
      </c>
      <c r="D42" s="65">
        <f>_xlfn.XLOOKUP(B42,L_Nodes!A:A,L_Nodes!C:C,0)</f>
        <v>0</v>
      </c>
      <c r="E42" s="68">
        <f ca="1">_xlfn.XLOOKUP(B42,L_Nodes!A:A,L_Nodes!D:D,0)+_xlfn.XLOOKUP(B42,L_Floor!A:A,L_Floor!I:I,0)+_xlfn.XLOOKUP(B42,L_Roof!A:A,L_Roof!C:C,0)+_xlfn.XLOOKUP(B42,'L_Filling material'!A:A,'L_Filling material'!C:C,0)</f>
        <v>-161666.86620287871</v>
      </c>
      <c r="F42" s="65">
        <f>_xlfn.XLOOKUP(B42,L_Nodes!A:A,L_Nodes!E:E,0)</f>
        <v>0</v>
      </c>
      <c r="G42" s="65">
        <f>_xlfn.XLOOKUP(B42,L_Nodes!A:A,L_Nodes!F:F,0)</f>
        <v>-24387</v>
      </c>
      <c r="H42" s="65">
        <f>_xlfn.XLOOKUP(B42,L_Nodes!A:A,L_Nodes!G:G,0)</f>
        <v>0</v>
      </c>
      <c r="I42" s="66" t="str" cm="1">
        <f t="array" aca="1" ref="I42" ca="1">IF(SUM(C42:H42)=0,"",TRIM(_xlfn.TEXTJOIN(CHAR(9),TRUE,A42:B42,TEXT(ROUND(C42:H42,1),"0.0"))))</f>
        <v>load	34	0.0	0.0	-161666.9	0.0	-24387.0	0.0</v>
      </c>
    </row>
    <row r="43" spans="1:12" x14ac:dyDescent="0.3">
      <c r="A43" s="66" t="s">
        <v>277</v>
      </c>
      <c r="B43" s="68">
        <v>35</v>
      </c>
      <c r="C43" s="65">
        <f>_xlfn.XLOOKUP(B43,L_Nodes!A:A,L_Nodes!B:B,0)</f>
        <v>0</v>
      </c>
      <c r="D43" s="65">
        <f>_xlfn.XLOOKUP(B43,L_Nodes!A:A,L_Nodes!C:C,0)</f>
        <v>0</v>
      </c>
      <c r="E43" s="68">
        <f ca="1">_xlfn.XLOOKUP(B43,L_Nodes!A:A,L_Nodes!D:D,0)+_xlfn.XLOOKUP(B43,L_Floor!A:A,L_Floor!I:I,0)+_xlfn.XLOOKUP(B43,L_Roof!A:A,L_Roof!C:C,0)+_xlfn.XLOOKUP(B43,'L_Filling material'!A:A,'L_Filling material'!C:C,0)</f>
        <v>-98313.358294294478</v>
      </c>
      <c r="F43" s="65">
        <f>_xlfn.XLOOKUP(B43,L_Nodes!A:A,L_Nodes!E:E,0)</f>
        <v>0</v>
      </c>
      <c r="G43" s="65">
        <f>_xlfn.XLOOKUP(B43,L_Nodes!A:A,L_Nodes!F:F,0)</f>
        <v>35524</v>
      </c>
      <c r="H43" s="65">
        <f>_xlfn.XLOOKUP(B43,L_Nodes!A:A,L_Nodes!G:G,0)</f>
        <v>0</v>
      </c>
      <c r="I43" s="66" t="str" cm="1">
        <f t="array" aca="1" ref="I43" ca="1">IF(SUM(C43:H43)=0,"",TRIM(_xlfn.TEXTJOIN(CHAR(9),TRUE,A43:B43,TEXT(ROUND(C43:H43,1),"0.0"))))</f>
        <v>load	35	0.0	0.0	-98313.4	0.0	35524.0	0.0</v>
      </c>
    </row>
    <row r="44" spans="1:12" x14ac:dyDescent="0.3">
      <c r="A44" s="66" t="s">
        <v>277</v>
      </c>
      <c r="B44" s="68">
        <v>36</v>
      </c>
      <c r="C44" s="65">
        <f>_xlfn.XLOOKUP(B44,L_Nodes!A:A,L_Nodes!B:B,0)</f>
        <v>0</v>
      </c>
      <c r="D44" s="65">
        <f>_xlfn.XLOOKUP(B44,L_Nodes!A:A,L_Nodes!C:C,0)</f>
        <v>0</v>
      </c>
      <c r="E44" s="68">
        <f>_xlfn.XLOOKUP(B44,L_Nodes!A:A,L_Nodes!D:D,0)+_xlfn.XLOOKUP(B44,L_Floor!A:A,L_Floor!I:I,0)+_xlfn.XLOOKUP(B44,L_Roof!A:A,L_Roof!C:C,0)+_xlfn.XLOOKUP(B44,'L_Filling material'!A:A,'L_Filling material'!C:C,0)</f>
        <v>-26698.896000000001</v>
      </c>
      <c r="F44" s="65">
        <f>_xlfn.XLOOKUP(B44,L_Nodes!A:A,L_Nodes!E:E,0)</f>
        <v>0</v>
      </c>
      <c r="G44" s="65">
        <f>_xlfn.XLOOKUP(B44,L_Nodes!A:A,L_Nodes!F:F,0)</f>
        <v>14684</v>
      </c>
      <c r="H44" s="65">
        <f>_xlfn.XLOOKUP(B44,L_Nodes!A:A,L_Nodes!G:G,0)</f>
        <v>0</v>
      </c>
      <c r="I44" s="66" t="str" cm="1">
        <f t="array" ref="I44">IF(SUM(C44:H44)=0,"",TRIM(_xlfn.TEXTJOIN(CHAR(9),TRUE,A44:B44,TEXT(ROUND(C44:H44,1),"0.0"))))</f>
        <v>load	36	0.0	0.0	-26698.9	0.0	14684.0	0.0</v>
      </c>
    </row>
    <row r="45" spans="1:12" x14ac:dyDescent="0.3">
      <c r="A45" s="66" t="s">
        <v>277</v>
      </c>
      <c r="B45" s="68">
        <v>37</v>
      </c>
      <c r="C45" s="65">
        <f>_xlfn.XLOOKUP(B45,L_Nodes!A:A,L_Nodes!B:B,0)</f>
        <v>0</v>
      </c>
      <c r="D45" s="65">
        <f>_xlfn.XLOOKUP(B45,L_Nodes!A:A,L_Nodes!C:C,0)</f>
        <v>0</v>
      </c>
      <c r="E45" s="68">
        <f>_xlfn.XLOOKUP(B45,L_Nodes!A:A,L_Nodes!D:D,0)+_xlfn.XLOOKUP(B45,L_Floor!A:A,L_Floor!I:I,0)+_xlfn.XLOOKUP(B45,L_Roof!A:A,L_Roof!C:C,0)+_xlfn.XLOOKUP(B45,'L_Filling material'!A:A,'L_Filling material'!C:C,0)</f>
        <v>-27687.744000000002</v>
      </c>
      <c r="F45" s="65">
        <f>_xlfn.XLOOKUP(B45,L_Nodes!A:A,L_Nodes!E:E,0)</f>
        <v>0</v>
      </c>
      <c r="G45" s="65">
        <f>_xlfn.XLOOKUP(B45,L_Nodes!A:A,L_Nodes!F:F,0)</f>
        <v>-24919</v>
      </c>
      <c r="H45" s="65">
        <f>_xlfn.XLOOKUP(B45,L_Nodes!A:A,L_Nodes!G:G,0)</f>
        <v>0</v>
      </c>
      <c r="I45" s="66" t="str" cm="1">
        <f t="array" ref="I45">IF(SUM(C45:H45)=0,"",TRIM(_xlfn.TEXTJOIN(CHAR(9),TRUE,A45:B45,TEXT(ROUND(C45:H45,1),"0.0"))))</f>
        <v>load	37	0.0	0.0	-27687.7	0.0	-24919.0	0.0</v>
      </c>
    </row>
    <row r="46" spans="1:12" x14ac:dyDescent="0.3">
      <c r="A46" s="66" t="s">
        <v>277</v>
      </c>
      <c r="B46" s="68">
        <v>38</v>
      </c>
      <c r="C46" s="65">
        <f>_xlfn.XLOOKUP(B46,L_Nodes!A:A,L_Nodes!B:B,0)</f>
        <v>0</v>
      </c>
      <c r="D46" s="65">
        <f>_xlfn.XLOOKUP(B46,L_Nodes!A:A,L_Nodes!C:C,0)</f>
        <v>0</v>
      </c>
      <c r="E46" s="68">
        <f>_xlfn.XLOOKUP(B46,L_Nodes!A:A,L_Nodes!D:D,0)+_xlfn.XLOOKUP(B46,L_Floor!A:A,L_Floor!I:I,0)+_xlfn.XLOOKUP(B46,L_Roof!A:A,L_Roof!C:C,0)+_xlfn.XLOOKUP(B46,'L_Filling material'!A:A,'L_Filling material'!C:C,0)</f>
        <v>-26698.896000000001</v>
      </c>
      <c r="F46" s="65">
        <f>_xlfn.XLOOKUP(B46,L_Nodes!A:A,L_Nodes!E:E,0)</f>
        <v>0</v>
      </c>
      <c r="G46" s="65">
        <f>_xlfn.XLOOKUP(B46,L_Nodes!A:A,L_Nodes!F:F,0)</f>
        <v>-14684</v>
      </c>
      <c r="H46" s="65">
        <f>_xlfn.XLOOKUP(B46,L_Nodes!A:A,L_Nodes!G:G,0)</f>
        <v>0</v>
      </c>
      <c r="I46" s="66" t="str" cm="1">
        <f t="array" ref="I46">IF(SUM(C46:H46)=0,"",TRIM(_xlfn.TEXTJOIN(CHAR(9),TRUE,A46:B46,TEXT(ROUND(C46:H46,1),"0.0"))))</f>
        <v>load	38	0.0	0.0	-26698.9	0.0	-14684.0	0.0</v>
      </c>
    </row>
    <row r="47" spans="1:12" x14ac:dyDescent="0.3">
      <c r="A47" s="66" t="s">
        <v>277</v>
      </c>
      <c r="B47" s="68">
        <v>39</v>
      </c>
      <c r="C47" s="65">
        <f>_xlfn.XLOOKUP(B47,L_Nodes!A:A,L_Nodes!B:B,0)</f>
        <v>0</v>
      </c>
      <c r="D47" s="65">
        <f>_xlfn.XLOOKUP(B47,L_Nodes!A:A,L_Nodes!C:C,0)</f>
        <v>0</v>
      </c>
      <c r="E47" s="68">
        <f>_xlfn.XLOOKUP(B47,L_Nodes!A:A,L_Nodes!D:D,0)+_xlfn.XLOOKUP(B47,L_Floor!A:A,L_Floor!I:I,0)+_xlfn.XLOOKUP(B47,L_Roof!A:A,L_Roof!C:C,0)+_xlfn.XLOOKUP(B47,'L_Filling material'!A:A,'L_Filling material'!C:C,0)</f>
        <v>-20567.646000000001</v>
      </c>
      <c r="F47" s="65">
        <f>_xlfn.XLOOKUP(B47,L_Nodes!A:A,L_Nodes!E:E,0)</f>
        <v>0</v>
      </c>
      <c r="G47" s="65">
        <f>_xlfn.XLOOKUP(B47,L_Nodes!A:A,L_Nodes!F:F,0)</f>
        <v>21391</v>
      </c>
      <c r="H47" s="65">
        <f>_xlfn.XLOOKUP(B47,L_Nodes!A:A,L_Nodes!G:G,0)</f>
        <v>0</v>
      </c>
      <c r="I47" s="66" t="str" cm="1">
        <f t="array" ref="I47">IF(SUM(C47:H47)=0,"",TRIM(_xlfn.TEXTJOIN(CHAR(9),TRUE,A47:B47,TEXT(ROUND(C47:H47,1),"0.0"))))</f>
        <v>load	39	0.0	0.0	-20567.6	0.0	21391.0	0.0</v>
      </c>
    </row>
    <row r="48" spans="1:12" x14ac:dyDescent="0.3">
      <c r="A48" s="66" t="s">
        <v>277</v>
      </c>
      <c r="B48" s="68">
        <v>40</v>
      </c>
      <c r="C48" s="65">
        <f>_xlfn.XLOOKUP(B48,L_Nodes!A:A,L_Nodes!B:B,0)</f>
        <v>0</v>
      </c>
      <c r="D48" s="65">
        <f>_xlfn.XLOOKUP(B48,L_Nodes!A:A,L_Nodes!C:C,0)</f>
        <v>0</v>
      </c>
      <c r="E48" s="68">
        <f ca="1">_xlfn.XLOOKUP(B48,L_Nodes!A:A,L_Nodes!D:D,0)+_xlfn.XLOOKUP(B48,L_Floor!A:A,L_Floor!I:I,0)+_xlfn.XLOOKUP(B48,L_Roof!A:A,L_Roof!C:C,0)+_xlfn.XLOOKUP(B48,'L_Filling material'!A:A,'L_Filling material'!C:C,0)</f>
        <v>-70582.433999999994</v>
      </c>
      <c r="F48" s="65">
        <f>_xlfn.XLOOKUP(B48,L_Nodes!A:A,L_Nodes!E:E,0)</f>
        <v>1389</v>
      </c>
      <c r="G48" s="65">
        <f>_xlfn.XLOOKUP(B48,L_Nodes!A:A,L_Nodes!F:F,0)</f>
        <v>0</v>
      </c>
      <c r="H48" s="65">
        <f>_xlfn.XLOOKUP(B48,L_Nodes!A:A,L_Nodes!G:G,0)</f>
        <v>0</v>
      </c>
      <c r="I48" s="66" t="str" cm="1">
        <f t="array" aca="1" ref="I48" ca="1">IF(SUM(C48:H48)=0,"",TRIM(_xlfn.TEXTJOIN(CHAR(9),TRUE,A48:B48,TEXT(ROUND(C48:H48,1),"0.0"))))</f>
        <v>load	40	0.0	0.0	-70582.4	1389.0	0.0	0.0</v>
      </c>
    </row>
    <row r="49" spans="1:9" x14ac:dyDescent="0.3">
      <c r="A49" s="66" t="s">
        <v>277</v>
      </c>
      <c r="B49" s="68">
        <v>41</v>
      </c>
      <c r="C49" s="65">
        <f>_xlfn.XLOOKUP(B49,L_Nodes!A:A,L_Nodes!B:B,0)</f>
        <v>0</v>
      </c>
      <c r="D49" s="65">
        <f>_xlfn.XLOOKUP(B49,L_Nodes!A:A,L_Nodes!C:C,0)</f>
        <v>0</v>
      </c>
      <c r="E49" s="68">
        <f ca="1">_xlfn.XLOOKUP(B49,L_Nodes!A:A,L_Nodes!D:D,0)+_xlfn.XLOOKUP(B49,L_Floor!A:A,L_Floor!I:I,0)+_xlfn.XLOOKUP(B49,L_Roof!A:A,L_Roof!C:C,0)+_xlfn.XLOOKUP(B49,'L_Filling material'!A:A,'L_Filling material'!C:C,0)</f>
        <v>-137622.42375299061</v>
      </c>
      <c r="F49" s="65">
        <f>_xlfn.XLOOKUP(B49,L_Nodes!A:A,L_Nodes!E:E,0)</f>
        <v>3613</v>
      </c>
      <c r="G49" s="65">
        <f>_xlfn.XLOOKUP(B49,L_Nodes!A:A,L_Nodes!F:F,0)</f>
        <v>0</v>
      </c>
      <c r="H49" s="65">
        <f>_xlfn.XLOOKUP(B49,L_Nodes!A:A,L_Nodes!G:G,0)</f>
        <v>0</v>
      </c>
      <c r="I49" s="66" t="str" cm="1">
        <f t="array" aca="1" ref="I49" ca="1">IF(SUM(C49:H49)=0,"",TRIM(_xlfn.TEXTJOIN(CHAR(9),TRUE,A49:B49,TEXT(ROUND(C49:H49,1),"0.0"))))</f>
        <v>load	41	0.0	0.0	-137622.4	3613.0	0.0	0.0</v>
      </c>
    </row>
    <row r="50" spans="1:9" x14ac:dyDescent="0.3">
      <c r="A50" s="66" t="s">
        <v>277</v>
      </c>
      <c r="B50" s="68">
        <v>42</v>
      </c>
      <c r="C50" s="65">
        <f>_xlfn.XLOOKUP(B50,L_Nodes!A:A,L_Nodes!B:B,0)</f>
        <v>0</v>
      </c>
      <c r="D50" s="65">
        <f>_xlfn.XLOOKUP(B50,L_Nodes!A:A,L_Nodes!C:C,0)</f>
        <v>0</v>
      </c>
      <c r="E50" s="68">
        <f>_xlfn.XLOOKUP(B50,L_Nodes!A:A,L_Nodes!D:D,0)+_xlfn.XLOOKUP(B50,L_Floor!A:A,L_Floor!I:I,0)+_xlfn.XLOOKUP(B50,L_Roof!A:A,L_Roof!C:C,0)+_xlfn.XLOOKUP(B50,'L_Filling material'!A:A,'L_Filling material'!C:C,0)</f>
        <v>-43509.311999999998</v>
      </c>
      <c r="F50" s="65">
        <f>_xlfn.XLOOKUP(B50,L_Nodes!A:A,L_Nodes!E:E,0)</f>
        <v>2175</v>
      </c>
      <c r="G50" s="65">
        <f>_xlfn.XLOOKUP(B50,L_Nodes!A:A,L_Nodes!F:F,0)</f>
        <v>0</v>
      </c>
      <c r="H50" s="65">
        <f>_xlfn.XLOOKUP(B50,L_Nodes!A:A,L_Nodes!G:G,0)</f>
        <v>0</v>
      </c>
      <c r="I50" s="66" t="str" cm="1">
        <f t="array" ref="I50">IF(SUM(C50:H50)=0,"",TRIM(_xlfn.TEXTJOIN(CHAR(9),TRUE,A50:B50,TEXT(ROUND(C50:H50,1),"0.0"))))</f>
        <v>load	42	0.0	0.0	-43509.3	2175.0	0.0	0.0</v>
      </c>
    </row>
    <row r="51" spans="1:9" x14ac:dyDescent="0.3">
      <c r="A51" s="66" t="s">
        <v>277</v>
      </c>
      <c r="B51" s="68">
        <v>43</v>
      </c>
      <c r="C51" s="65">
        <f>_xlfn.XLOOKUP(B51,L_Nodes!A:A,L_Nodes!B:B,0)</f>
        <v>0</v>
      </c>
      <c r="D51" s="65">
        <f>_xlfn.XLOOKUP(B51,L_Nodes!A:A,L_Nodes!C:C,0)</f>
        <v>0</v>
      </c>
      <c r="E51" s="68">
        <f>_xlfn.XLOOKUP(B51,L_Nodes!A:A,L_Nodes!D:D,0)+_xlfn.XLOOKUP(B51,L_Floor!A:A,L_Floor!I:I,0)+_xlfn.XLOOKUP(B51,L_Roof!A:A,L_Roof!C:C,0)+_xlfn.XLOOKUP(B51,'L_Filling material'!A:A,'L_Filling material'!C:C,0)</f>
        <v>-103348.534</v>
      </c>
      <c r="F51" s="65">
        <f>_xlfn.XLOOKUP(B51,L_Nodes!A:A,L_Nodes!E:E,0)</f>
        <v>0</v>
      </c>
      <c r="G51" s="65">
        <f>_xlfn.XLOOKUP(B51,L_Nodes!A:A,L_Nodes!F:F,0)</f>
        <v>11589</v>
      </c>
      <c r="H51" s="65">
        <f>_xlfn.XLOOKUP(B51,L_Nodes!A:A,L_Nodes!G:G,0)</f>
        <v>0</v>
      </c>
      <c r="I51" s="66" t="str" cm="1">
        <f t="array" ref="I51">IF(SUM(C51:H51)=0,"",TRIM(_xlfn.TEXTJOIN(CHAR(9),TRUE,A51:B51,TEXT(ROUND(C51:H51,1),"0.0"))))</f>
        <v>load	43	0.0	0.0	-103348.5	0.0	11589.0	0.0</v>
      </c>
    </row>
    <row r="52" spans="1:9" x14ac:dyDescent="0.3">
      <c r="A52" s="66" t="s">
        <v>277</v>
      </c>
      <c r="B52" s="68">
        <v>44</v>
      </c>
      <c r="C52" s="65">
        <f>_xlfn.XLOOKUP(B52,L_Nodes!A:A,L_Nodes!B:B,0)</f>
        <v>0</v>
      </c>
      <c r="D52" s="65">
        <f>_xlfn.XLOOKUP(B52,L_Nodes!A:A,L_Nodes!C:C,0)</f>
        <v>0</v>
      </c>
      <c r="E52" s="68">
        <f>_xlfn.XLOOKUP(B52,L_Nodes!A:A,L_Nodes!D:D,0)+_xlfn.XLOOKUP(B52,L_Floor!A:A,L_Floor!I:I,0)+_xlfn.XLOOKUP(B52,L_Roof!A:A,L_Roof!C:C,0)+_xlfn.XLOOKUP(B52,'L_Filling material'!A:A,'L_Filling material'!C:C,0)</f>
        <v>-71580.924999999988</v>
      </c>
      <c r="F52" s="65">
        <f>_xlfn.XLOOKUP(B52,L_Nodes!A:A,L_Nodes!E:E,0)</f>
        <v>0</v>
      </c>
      <c r="G52" s="65">
        <f>_xlfn.XLOOKUP(B52,L_Nodes!A:A,L_Nodes!F:F,0)</f>
        <v>-17717</v>
      </c>
      <c r="H52" s="65">
        <f>_xlfn.XLOOKUP(B52,L_Nodes!A:A,L_Nodes!G:G,0)</f>
        <v>0</v>
      </c>
      <c r="I52" s="66" t="str" cm="1">
        <f t="array" ref="I52">IF(SUM(C52:H52)=0,"",TRIM(_xlfn.TEXTJOIN(CHAR(9),TRUE,A52:B52,TEXT(ROUND(C52:H52,1),"0.0"))))</f>
        <v>load	44	0.0	0.0	-71580.9	0.0	-17717.0	0.0</v>
      </c>
    </row>
    <row r="53" spans="1:9" x14ac:dyDescent="0.3">
      <c r="A53" s="66" t="s">
        <v>277</v>
      </c>
      <c r="B53" s="68">
        <v>45</v>
      </c>
      <c r="C53" s="65">
        <f>_xlfn.XLOOKUP(B53,L_Nodes!A:A,L_Nodes!B:B,0)</f>
        <v>0</v>
      </c>
      <c r="D53" s="65">
        <f>_xlfn.XLOOKUP(B53,L_Nodes!A:A,L_Nodes!C:C,0)</f>
        <v>0</v>
      </c>
      <c r="E53" s="68">
        <f>_xlfn.XLOOKUP(B53,L_Nodes!A:A,L_Nodes!D:D,0)+_xlfn.XLOOKUP(B53,L_Floor!A:A,L_Floor!I:I,0)+_xlfn.XLOOKUP(B53,L_Roof!A:A,L_Roof!C:C,0)+_xlfn.XLOOKUP(B53,'L_Filling material'!A:A,'L_Filling material'!C:C,0)</f>
        <v>-123260.281</v>
      </c>
      <c r="F53" s="65">
        <f>_xlfn.XLOOKUP(B53,L_Nodes!A:A,L_Nodes!E:E,0)</f>
        <v>0</v>
      </c>
      <c r="G53" s="65">
        <f>_xlfn.XLOOKUP(B53,L_Nodes!A:A,L_Nodes!F:F,0)</f>
        <v>5754</v>
      </c>
      <c r="H53" s="65">
        <f>_xlfn.XLOOKUP(B53,L_Nodes!A:A,L_Nodes!G:G,0)</f>
        <v>0</v>
      </c>
      <c r="I53" s="66" t="str" cm="1">
        <f t="array" ref="I53">IF(SUM(C53:H53)=0,"",TRIM(_xlfn.TEXTJOIN(CHAR(9),TRUE,A53:B53,TEXT(ROUND(C53:H53,1),"0.0"))))</f>
        <v>load	45	0.0	0.0	-123260.3	0.0	5754.0	0.0</v>
      </c>
    </row>
    <row r="54" spans="1:9" x14ac:dyDescent="0.3">
      <c r="A54" s="66" t="s">
        <v>277</v>
      </c>
      <c r="B54" s="68">
        <v>46</v>
      </c>
      <c r="C54" s="65">
        <f>_xlfn.XLOOKUP(B54,L_Nodes!A:A,L_Nodes!B:B,0)</f>
        <v>0</v>
      </c>
      <c r="D54" s="65">
        <f>_xlfn.XLOOKUP(B54,L_Nodes!A:A,L_Nodes!C:C,0)</f>
        <v>0</v>
      </c>
      <c r="E54" s="68">
        <f ca="1">_xlfn.XLOOKUP(B54,L_Nodes!A:A,L_Nodes!D:D,0)+_xlfn.XLOOKUP(B54,L_Floor!A:A,L_Floor!I:I,0)+_xlfn.XLOOKUP(B54,L_Roof!A:A,L_Roof!C:C,0)+_xlfn.XLOOKUP(B54,'L_Filling material'!A:A,'L_Filling material'!C:C,0)</f>
        <v>-157475.94126111618</v>
      </c>
      <c r="F54" s="65">
        <f>_xlfn.XLOOKUP(B54,L_Nodes!A:A,L_Nodes!E:E,0)</f>
        <v>0</v>
      </c>
      <c r="G54" s="65">
        <f>_xlfn.XLOOKUP(B54,L_Nodes!A:A,L_Nodes!F:F,0)</f>
        <v>14361</v>
      </c>
      <c r="H54" s="65">
        <f>_xlfn.XLOOKUP(B54,L_Nodes!A:A,L_Nodes!G:G,0)</f>
        <v>0</v>
      </c>
      <c r="I54" s="66" t="str" cm="1">
        <f t="array" aca="1" ref="I54" ca="1">IF(SUM(C54:H54)=0,"",TRIM(_xlfn.TEXTJOIN(CHAR(9),TRUE,A54:B54,TEXT(ROUND(C54:H54,1),"0.0"))))</f>
        <v>load	46	0.0	0.0	-157475.9	0.0	14361.0	0.0</v>
      </c>
    </row>
    <row r="55" spans="1:9" x14ac:dyDescent="0.3">
      <c r="A55" s="66" t="s">
        <v>277</v>
      </c>
      <c r="B55" s="68">
        <v>47</v>
      </c>
      <c r="C55" s="65">
        <f>_xlfn.XLOOKUP(B55,L_Nodes!A:A,L_Nodes!B:B,0)</f>
        <v>0</v>
      </c>
      <c r="D55" s="65">
        <f>_xlfn.XLOOKUP(B55,L_Nodes!A:A,L_Nodes!C:C,0)</f>
        <v>0</v>
      </c>
      <c r="E55" s="68">
        <f ca="1">_xlfn.XLOOKUP(B55,L_Nodes!A:A,L_Nodes!D:D,0)+_xlfn.XLOOKUP(B55,L_Floor!A:A,L_Floor!I:I,0)+_xlfn.XLOOKUP(B55,L_Roof!A:A,L_Roof!C:C,0)+_xlfn.XLOOKUP(B55,'L_Filling material'!A:A,'L_Filling material'!C:C,0)</f>
        <v>-110858.94515776109</v>
      </c>
      <c r="F55" s="65">
        <f>_xlfn.XLOOKUP(B55,L_Nodes!A:A,L_Nodes!E:E,0)</f>
        <v>0</v>
      </c>
      <c r="G55" s="65">
        <f>_xlfn.XLOOKUP(B55,L_Nodes!A:A,L_Nodes!F:F,0)</f>
        <v>-21954</v>
      </c>
      <c r="H55" s="65">
        <f>_xlfn.XLOOKUP(B55,L_Nodes!A:A,L_Nodes!G:G,0)</f>
        <v>0</v>
      </c>
      <c r="I55" s="66" t="str" cm="1">
        <f t="array" aca="1" ref="I55" ca="1">IF(SUM(C55:H55)=0,"",TRIM(_xlfn.TEXTJOIN(CHAR(9),TRUE,A55:B55,TEXT(ROUND(C55:H55,1),"0.0"))))</f>
        <v>load	47	0.0	0.0	-110858.9	0.0	-21954.0	0.0</v>
      </c>
    </row>
    <row r="56" spans="1:9" x14ac:dyDescent="0.3">
      <c r="A56" s="66" t="s">
        <v>277</v>
      </c>
      <c r="B56" s="68">
        <v>48</v>
      </c>
      <c r="C56" s="65">
        <f>_xlfn.XLOOKUP(B56,L_Nodes!A:A,L_Nodes!B:B,0)</f>
        <v>0</v>
      </c>
      <c r="D56" s="65">
        <f>_xlfn.XLOOKUP(B56,L_Nodes!A:A,L_Nodes!C:C,0)</f>
        <v>0</v>
      </c>
      <c r="E56" s="68">
        <f ca="1">_xlfn.XLOOKUP(B56,L_Nodes!A:A,L_Nodes!D:D,0)+_xlfn.XLOOKUP(B56,L_Floor!A:A,L_Floor!I:I,0)+_xlfn.XLOOKUP(B56,L_Roof!A:A,L_Roof!C:C,0)+_xlfn.XLOOKUP(B56,'L_Filling material'!A:A,'L_Filling material'!C:C,0)</f>
        <v>-110497.12757147462</v>
      </c>
      <c r="F56" s="65">
        <f>_xlfn.XLOOKUP(B56,L_Nodes!A:A,L_Nodes!E:E,0)</f>
        <v>0</v>
      </c>
      <c r="G56" s="65">
        <f>_xlfn.XLOOKUP(B56,L_Nodes!A:A,L_Nodes!F:F,0)</f>
        <v>7130</v>
      </c>
      <c r="H56" s="65">
        <f>_xlfn.XLOOKUP(B56,L_Nodes!A:A,L_Nodes!G:G,0)</f>
        <v>0</v>
      </c>
      <c r="I56" s="66" t="str" cm="1">
        <f t="array" aca="1" ref="I56" ca="1">IF(SUM(C56:H56)=0,"",TRIM(_xlfn.TEXTJOIN(CHAR(9),TRUE,A56:B56,TEXT(ROUND(C56:H56,1),"0.0"))))</f>
        <v>load	48	0.0	0.0	-110497.1	0.0	7130.0	0.0</v>
      </c>
    </row>
    <row r="57" spans="1:9" x14ac:dyDescent="0.3">
      <c r="A57" s="66" t="s">
        <v>277</v>
      </c>
      <c r="B57" s="68">
        <v>49</v>
      </c>
      <c r="C57" s="65">
        <f>_xlfn.XLOOKUP(B57,L_Nodes!A:A,L_Nodes!B:B,0)</f>
        <v>0</v>
      </c>
      <c r="D57" s="65">
        <f>_xlfn.XLOOKUP(B57,L_Nodes!A:A,L_Nodes!C:C,0)</f>
        <v>0</v>
      </c>
      <c r="E57" s="68">
        <f>_xlfn.XLOOKUP(B57,L_Nodes!A:A,L_Nodes!D:D,0)+_xlfn.XLOOKUP(B57,L_Floor!A:A,L_Floor!I:I,0)+_xlfn.XLOOKUP(B57,L_Roof!A:A,L_Roof!C:C,0)+_xlfn.XLOOKUP(B57,'L_Filling material'!A:A,'L_Filling material'!C:C,0)</f>
        <v>0</v>
      </c>
      <c r="F57" s="65">
        <f>_xlfn.XLOOKUP(B57,L_Nodes!A:A,L_Nodes!E:E,0)</f>
        <v>0</v>
      </c>
      <c r="G57" s="65">
        <f>_xlfn.XLOOKUP(B57,L_Nodes!A:A,L_Nodes!F:F,0)</f>
        <v>0</v>
      </c>
      <c r="H57" s="65">
        <f>_xlfn.XLOOKUP(B57,L_Nodes!A:A,L_Nodes!G:G,0)</f>
        <v>0</v>
      </c>
      <c r="I57" s="66" t="str" cm="1">
        <f t="array" ref="I57">IF(SUM(C57:H57)=0,"",TRIM(_xlfn.TEXTJOIN(CHAR(9),TRUE,A57:B57,TEXT(ROUND(C57:H57,1),"0.0"))))</f>
        <v/>
      </c>
    </row>
    <row r="58" spans="1:9" x14ac:dyDescent="0.3">
      <c r="A58" s="66" t="s">
        <v>277</v>
      </c>
      <c r="B58" s="68">
        <v>50</v>
      </c>
      <c r="C58" s="65">
        <f>_xlfn.XLOOKUP(B58,L_Nodes!A:A,L_Nodes!B:B,0)</f>
        <v>0</v>
      </c>
      <c r="D58" s="65">
        <f>_xlfn.XLOOKUP(B58,L_Nodes!A:A,L_Nodes!C:C,0)</f>
        <v>0</v>
      </c>
      <c r="E58" s="68">
        <f>_xlfn.XLOOKUP(B58,L_Nodes!A:A,L_Nodes!D:D,0)+_xlfn.XLOOKUP(B58,L_Floor!A:A,L_Floor!I:I,0)+_xlfn.XLOOKUP(B58,L_Roof!A:A,L_Roof!C:C,0)+_xlfn.XLOOKUP(B58,'L_Filling material'!A:A,'L_Filling material'!C:C,0)</f>
        <v>0</v>
      </c>
      <c r="F58" s="65">
        <f>_xlfn.XLOOKUP(B58,L_Nodes!A:A,L_Nodes!E:E,0)</f>
        <v>0</v>
      </c>
      <c r="G58" s="65">
        <f>_xlfn.XLOOKUP(B58,L_Nodes!A:A,L_Nodes!F:F,0)</f>
        <v>0</v>
      </c>
      <c r="H58" s="65">
        <f>_xlfn.XLOOKUP(B58,L_Nodes!A:A,L_Nodes!G:G,0)</f>
        <v>0</v>
      </c>
      <c r="I58" s="66" t="str" cm="1">
        <f t="array" ref="I58">IF(SUM(C58:H58)=0,"",TRIM(_xlfn.TEXTJOIN(CHAR(9),TRUE,A58:B58,TEXT(ROUND(C58:H58,1),"0.0"))))</f>
        <v/>
      </c>
    </row>
    <row r="59" spans="1:9" x14ac:dyDescent="0.3">
      <c r="A59" s="66" t="s">
        <v>277</v>
      </c>
      <c r="B59" s="68">
        <v>51</v>
      </c>
      <c r="C59" s="65">
        <f>_xlfn.XLOOKUP(B59,L_Nodes!A:A,L_Nodes!B:B,0)</f>
        <v>0</v>
      </c>
      <c r="D59" s="65">
        <f>_xlfn.XLOOKUP(B59,L_Nodes!A:A,L_Nodes!C:C,0)</f>
        <v>0</v>
      </c>
      <c r="E59" s="68">
        <f>_xlfn.XLOOKUP(B59,L_Nodes!A:A,L_Nodes!D:D,0)+_xlfn.XLOOKUP(B59,L_Floor!A:A,L_Floor!I:I,0)+_xlfn.XLOOKUP(B59,L_Roof!A:A,L_Roof!C:C,0)+_xlfn.XLOOKUP(B59,'L_Filling material'!A:A,'L_Filling material'!C:C,0)</f>
        <v>0</v>
      </c>
      <c r="F59" s="65">
        <f>_xlfn.XLOOKUP(B59,L_Nodes!A:A,L_Nodes!E:E,0)</f>
        <v>0</v>
      </c>
      <c r="G59" s="65">
        <f>_xlfn.XLOOKUP(B59,L_Nodes!A:A,L_Nodes!F:F,0)</f>
        <v>0</v>
      </c>
      <c r="H59" s="65">
        <f>_xlfn.XLOOKUP(B59,L_Nodes!A:A,L_Nodes!G:G,0)</f>
        <v>0</v>
      </c>
      <c r="I59" s="66" t="str" cm="1">
        <f t="array" ref="I59">IF(SUM(C59:H59)=0,"",TRIM(_xlfn.TEXTJOIN(CHAR(9),TRUE,A59:B59,TEXT(ROUND(C59:H59,1),"0.0"))))</f>
        <v/>
      </c>
    </row>
    <row r="60" spans="1:9" x14ac:dyDescent="0.3">
      <c r="A60" s="66" t="s">
        <v>277</v>
      </c>
      <c r="B60" s="68">
        <v>52</v>
      </c>
      <c r="C60" s="65">
        <f>_xlfn.XLOOKUP(B60,L_Nodes!A:A,L_Nodes!B:B,0)</f>
        <v>0</v>
      </c>
      <c r="D60" s="65">
        <f>_xlfn.XLOOKUP(B60,L_Nodes!A:A,L_Nodes!C:C,0)</f>
        <v>0</v>
      </c>
      <c r="E60" s="68">
        <f>_xlfn.XLOOKUP(B60,L_Nodes!A:A,L_Nodes!D:D,0)+_xlfn.XLOOKUP(B60,L_Floor!A:A,L_Floor!I:I,0)+_xlfn.XLOOKUP(B60,L_Roof!A:A,L_Roof!C:C,0)+_xlfn.XLOOKUP(B60,'L_Filling material'!A:A,'L_Filling material'!C:C,0)</f>
        <v>-9341.0820000000003</v>
      </c>
      <c r="F60" s="65">
        <f>_xlfn.XLOOKUP(B60,L_Nodes!A:A,L_Nodes!E:E,0)</f>
        <v>-3503</v>
      </c>
      <c r="G60" s="65">
        <f>_xlfn.XLOOKUP(B60,L_Nodes!A:A,L_Nodes!F:F,0)</f>
        <v>0</v>
      </c>
      <c r="H60" s="65">
        <f>_xlfn.XLOOKUP(B60,L_Nodes!A:A,L_Nodes!G:G,0)</f>
        <v>0</v>
      </c>
      <c r="I60" s="66" t="str" cm="1">
        <f t="array" ref="I60">IF(SUM(C60:H60)=0,"",TRIM(_xlfn.TEXTJOIN(CHAR(9),TRUE,A60:B60,TEXT(ROUND(C60:H60,1),"0.0"))))</f>
        <v>load	52	0.0	0.0	-9341.1	-3503.0	0.0	0.0</v>
      </c>
    </row>
    <row r="61" spans="1:9" x14ac:dyDescent="0.3">
      <c r="A61" s="66" t="s">
        <v>277</v>
      </c>
      <c r="B61" s="68">
        <v>53</v>
      </c>
      <c r="C61" s="65">
        <f>_xlfn.XLOOKUP(B61,L_Nodes!A:A,L_Nodes!B:B,0)</f>
        <v>0</v>
      </c>
      <c r="D61" s="65">
        <f>_xlfn.XLOOKUP(B61,L_Nodes!A:A,L_Nodes!C:C,0)</f>
        <v>0</v>
      </c>
      <c r="E61" s="68">
        <f ca="1">_xlfn.XLOOKUP(B61,L_Nodes!A:A,L_Nodes!D:D,0)+_xlfn.XLOOKUP(B61,L_Floor!A:A,L_Floor!I:I,0)+_xlfn.XLOOKUP(B61,L_Roof!A:A,L_Roof!C:C,0)+_xlfn.XLOOKUP(B61,'L_Filling material'!A:A,'L_Filling material'!C:C,0)</f>
        <v>-73779.844483217545</v>
      </c>
      <c r="F61" s="65">
        <f>_xlfn.XLOOKUP(B61,L_Nodes!A:A,L_Nodes!E:E,0)</f>
        <v>-3617</v>
      </c>
      <c r="G61" s="65">
        <f>_xlfn.XLOOKUP(B61,L_Nodes!A:A,L_Nodes!F:F,0)</f>
        <v>0</v>
      </c>
      <c r="H61" s="65">
        <f>_xlfn.XLOOKUP(B61,L_Nodes!A:A,L_Nodes!G:G,0)</f>
        <v>0</v>
      </c>
      <c r="I61" s="66" t="str" cm="1">
        <f t="array" aca="1" ref="I61" ca="1">IF(SUM(C61:H61)=0,"",TRIM(_xlfn.TEXTJOIN(CHAR(9),TRUE,A61:B61,TEXT(ROUND(C61:H61,1),"0.0"))))</f>
        <v>load	53	0.0	0.0	-73779.8	-3617.0	0.0	0.0</v>
      </c>
    </row>
    <row r="62" spans="1:9" x14ac:dyDescent="0.3">
      <c r="A62" s="66" t="s">
        <v>277</v>
      </c>
      <c r="B62" s="68">
        <v>54</v>
      </c>
      <c r="C62" s="65">
        <f>_xlfn.XLOOKUP(B62,L_Nodes!A:A,L_Nodes!B:B,0)</f>
        <v>0</v>
      </c>
      <c r="D62" s="65">
        <f>_xlfn.XLOOKUP(B62,L_Nodes!A:A,L_Nodes!C:C,0)</f>
        <v>0</v>
      </c>
      <c r="E62" s="68">
        <f>_xlfn.XLOOKUP(B62,L_Nodes!A:A,L_Nodes!D:D,0)+_xlfn.XLOOKUP(B62,L_Floor!A:A,L_Floor!I:I,0)+_xlfn.XLOOKUP(B62,L_Roof!A:A,L_Roof!C:C,0)+_xlfn.XLOOKUP(B62,'L_Filling material'!A:A,'L_Filling material'!C:C,0)</f>
        <v>0</v>
      </c>
      <c r="F62" s="65">
        <f>_xlfn.XLOOKUP(B62,L_Nodes!A:A,L_Nodes!E:E,0)</f>
        <v>0</v>
      </c>
      <c r="G62" s="65">
        <f>_xlfn.XLOOKUP(B62,L_Nodes!A:A,L_Nodes!F:F,0)</f>
        <v>0</v>
      </c>
      <c r="H62" s="65">
        <f>_xlfn.XLOOKUP(B62,L_Nodes!A:A,L_Nodes!G:G,0)</f>
        <v>0</v>
      </c>
      <c r="I62" s="66" t="str" cm="1">
        <f t="array" ref="I62">IF(SUM(C62:H62)=0,"",TRIM(_xlfn.TEXTJOIN(CHAR(9),TRUE,A62:B62,TEXT(ROUND(C62:H62,1),"0.0"))))</f>
        <v/>
      </c>
    </row>
    <row r="63" spans="1:9" x14ac:dyDescent="0.3">
      <c r="A63" s="66" t="s">
        <v>277</v>
      </c>
      <c r="B63" s="68">
        <v>55</v>
      </c>
      <c r="C63" s="65">
        <f>_xlfn.XLOOKUP(B63,L_Nodes!A:A,L_Nodes!B:B,0)</f>
        <v>0</v>
      </c>
      <c r="D63" s="65">
        <f>_xlfn.XLOOKUP(B63,L_Nodes!A:A,L_Nodes!C:C,0)</f>
        <v>0</v>
      </c>
      <c r="E63" s="68">
        <f>_xlfn.XLOOKUP(B63,L_Nodes!A:A,L_Nodes!D:D,0)+_xlfn.XLOOKUP(B63,L_Floor!A:A,L_Floor!I:I,0)+_xlfn.XLOOKUP(B63,L_Roof!A:A,L_Roof!C:C,0)+_xlfn.XLOOKUP(B63,'L_Filling material'!A:A,'L_Filling material'!C:C,0)</f>
        <v>-22993.211306250003</v>
      </c>
      <c r="F63" s="65">
        <f>_xlfn.XLOOKUP(B63,L_Nodes!A:A,L_Nodes!E:E,0)</f>
        <v>0</v>
      </c>
      <c r="G63" s="65">
        <f>_xlfn.XLOOKUP(B63,L_Nodes!A:A,L_Nodes!F:F,0)</f>
        <v>0</v>
      </c>
      <c r="H63" s="65">
        <f>_xlfn.XLOOKUP(B63,L_Nodes!A:A,L_Nodes!G:G,0)</f>
        <v>0</v>
      </c>
      <c r="I63" s="66" t="str" cm="1">
        <f t="array" ref="I63">IF(SUM(C63:H63)=0,"",TRIM(_xlfn.TEXTJOIN(CHAR(9),TRUE,A63:B63,TEXT(ROUND(C63:H63,1),"0.0"))))</f>
        <v>load	55	0.0	0.0	-22993.2	0.0	0.0	0.0</v>
      </c>
    </row>
    <row r="64" spans="1:9" x14ac:dyDescent="0.3">
      <c r="A64" s="66" t="s">
        <v>277</v>
      </c>
      <c r="B64" s="68">
        <v>56</v>
      </c>
      <c r="C64" s="65">
        <f>_xlfn.XLOOKUP(B64,L_Nodes!A:A,L_Nodes!B:B,0)</f>
        <v>0</v>
      </c>
      <c r="D64" s="65">
        <f>_xlfn.XLOOKUP(B64,L_Nodes!A:A,L_Nodes!C:C,0)</f>
        <v>0</v>
      </c>
      <c r="E64" s="68">
        <f ca="1">_xlfn.XLOOKUP(B64,L_Nodes!A:A,L_Nodes!D:D,0)+_xlfn.XLOOKUP(B64,L_Floor!A:A,L_Floor!I:I,0)+_xlfn.XLOOKUP(B64,L_Roof!A:A,L_Roof!C:C,0)+_xlfn.XLOOKUP(B64,'L_Filling material'!A:A,'L_Filling material'!C:C,0)</f>
        <v>-35259.622534305498</v>
      </c>
      <c r="F64" s="65">
        <f>_xlfn.XLOOKUP(B64,L_Nodes!A:A,L_Nodes!E:E,0)</f>
        <v>0</v>
      </c>
      <c r="G64" s="65">
        <f>_xlfn.XLOOKUP(B64,L_Nodes!A:A,L_Nodes!F:F,0)</f>
        <v>0</v>
      </c>
      <c r="H64" s="65">
        <f>_xlfn.XLOOKUP(B64,L_Nodes!A:A,L_Nodes!G:G,0)</f>
        <v>0</v>
      </c>
      <c r="I64" s="66" t="str" cm="1">
        <f t="array" aca="1" ref="I64" ca="1">IF(SUM(C64:H64)=0,"",TRIM(_xlfn.TEXTJOIN(CHAR(9),TRUE,A64:B64,TEXT(ROUND(C64:H64,1),"0.0"))))</f>
        <v>load	56	0.0	0.0	-35259.6	0.0	0.0	0.0</v>
      </c>
    </row>
    <row r="65" spans="1:13" x14ac:dyDescent="0.3">
      <c r="A65" s="66" t="s">
        <v>277</v>
      </c>
      <c r="B65" s="68">
        <v>57</v>
      </c>
      <c r="C65" s="65">
        <f>_xlfn.XLOOKUP(B65,L_Nodes!A:A,L_Nodes!B:B,0)</f>
        <v>0</v>
      </c>
      <c r="D65" s="65">
        <f>_xlfn.XLOOKUP(B65,L_Nodes!A:A,L_Nodes!C:C,0)</f>
        <v>0</v>
      </c>
      <c r="E65" s="68">
        <f>_xlfn.XLOOKUP(B65,L_Nodes!A:A,L_Nodes!D:D,0)+_xlfn.XLOOKUP(B65,L_Floor!A:A,L_Floor!I:I,0)+_xlfn.XLOOKUP(B65,L_Roof!A:A,L_Roof!C:C,0)+_xlfn.XLOOKUP(B65,'L_Filling material'!A:A,'L_Filling material'!C:C,0)</f>
        <v>0</v>
      </c>
      <c r="F65" s="65">
        <f>_xlfn.XLOOKUP(B65,L_Nodes!A:A,L_Nodes!E:E,0)</f>
        <v>0</v>
      </c>
      <c r="G65" s="65">
        <f>_xlfn.XLOOKUP(B65,L_Nodes!A:A,L_Nodes!F:F,0)</f>
        <v>0</v>
      </c>
      <c r="H65" s="65">
        <f>_xlfn.XLOOKUP(B65,L_Nodes!A:A,L_Nodes!G:G,0)</f>
        <v>0</v>
      </c>
      <c r="I65" s="66" t="str" cm="1">
        <f t="array" ref="I65">IF(SUM(C65:H65)=0,"",TRIM(_xlfn.TEXTJOIN(CHAR(9),TRUE,A65:B65,TEXT(ROUND(C65:H65,1),"0.0"))))</f>
        <v/>
      </c>
    </row>
    <row r="66" spans="1:13" x14ac:dyDescent="0.3">
      <c r="A66" s="66" t="s">
        <v>277</v>
      </c>
      <c r="B66" s="68">
        <v>58</v>
      </c>
      <c r="C66" s="65">
        <f>_xlfn.XLOOKUP(B66,L_Nodes!A:A,L_Nodes!B:B,0)</f>
        <v>0</v>
      </c>
      <c r="D66" s="65">
        <f>_xlfn.XLOOKUP(B66,L_Nodes!A:A,L_Nodes!C:C,0)</f>
        <v>0</v>
      </c>
      <c r="E66" s="68">
        <f ca="1">_xlfn.XLOOKUP(B66,L_Nodes!A:A,L_Nodes!D:D,0)+_xlfn.XLOOKUP(B66,L_Floor!A:A,L_Floor!I:I,0)+_xlfn.XLOOKUP(B66,L_Roof!A:A,L_Roof!C:C,0)+_xlfn.XLOOKUP(B66,'L_Filling material'!A:A,'L_Filling material'!C:C,0)</f>
        <v>-25198.547947136569</v>
      </c>
      <c r="F66" s="65">
        <f>_xlfn.XLOOKUP(B66,L_Nodes!A:A,L_Nodes!E:E,0)</f>
        <v>-16408</v>
      </c>
      <c r="G66" s="65">
        <f>_xlfn.XLOOKUP(B66,L_Nodes!A:A,L_Nodes!F:F,0)</f>
        <v>0</v>
      </c>
      <c r="H66" s="65">
        <f>_xlfn.XLOOKUP(B66,L_Nodes!A:A,L_Nodes!G:G,0)</f>
        <v>0</v>
      </c>
      <c r="I66" s="66" t="str" cm="1">
        <f t="array" aca="1" ref="I66" ca="1">IF(SUM(C66:H66)=0,"",TRIM(_xlfn.TEXTJOIN(CHAR(9),TRUE,A66:B66,TEXT(ROUND(C66:H66,1),"0.0"))))</f>
        <v>load	58	0.0	0.0	-25198.5	-16408.0	0.0	0.0</v>
      </c>
    </row>
    <row r="67" spans="1:13" x14ac:dyDescent="0.3">
      <c r="A67" s="66" t="s">
        <v>277</v>
      </c>
      <c r="B67" s="68">
        <v>59</v>
      </c>
      <c r="C67" s="65">
        <f>_xlfn.XLOOKUP(B67,L_Nodes!A:A,L_Nodes!B:B,0)</f>
        <v>0</v>
      </c>
      <c r="D67" s="65">
        <f>_xlfn.XLOOKUP(B67,L_Nodes!A:A,L_Nodes!C:C,0)</f>
        <v>0</v>
      </c>
      <c r="E67" s="68">
        <f>_xlfn.XLOOKUP(B67,L_Nodes!A:A,L_Nodes!D:D,0)+_xlfn.XLOOKUP(B67,L_Floor!A:A,L_Floor!I:I,0)+_xlfn.XLOOKUP(B67,L_Roof!A:A,L_Roof!C:C,0)+_xlfn.XLOOKUP(B67,'L_Filling material'!A:A,'L_Filling material'!C:C,0)</f>
        <v>-8166.9810000000007</v>
      </c>
      <c r="F67" s="65">
        <f>_xlfn.XLOOKUP(B67,L_Nodes!A:A,L_Nodes!E:E,0)</f>
        <v>-1511</v>
      </c>
      <c r="G67" s="65">
        <f>_xlfn.XLOOKUP(B67,L_Nodes!A:A,L_Nodes!F:F,0)</f>
        <v>0</v>
      </c>
      <c r="H67" s="65">
        <f>_xlfn.XLOOKUP(B67,L_Nodes!A:A,L_Nodes!G:G,0)</f>
        <v>0</v>
      </c>
      <c r="I67" s="66" t="str" cm="1">
        <f t="array" ref="I67">IF(SUM(C67:H67)=0,"",TRIM(_xlfn.TEXTJOIN(CHAR(9),TRUE,A67:B67,TEXT(ROUND(C67:H67,1),"0.0"))))</f>
        <v>load	59	0.0	0.0	-8167.0	-1511.0	0.0	0.0</v>
      </c>
    </row>
    <row r="68" spans="1:13" x14ac:dyDescent="0.3">
      <c r="A68" s="66" t="s">
        <v>277</v>
      </c>
      <c r="B68" s="68">
        <v>60</v>
      </c>
      <c r="C68" s="65">
        <f>_xlfn.XLOOKUP(B68,L_Nodes!A:A,L_Nodes!B:B,0)</f>
        <v>0</v>
      </c>
      <c r="D68" s="65">
        <f>_xlfn.XLOOKUP(B68,L_Nodes!A:A,L_Nodes!C:C,0)</f>
        <v>0</v>
      </c>
      <c r="E68" s="68">
        <f>_xlfn.XLOOKUP(B68,L_Nodes!A:A,L_Nodes!D:D,0)+_xlfn.XLOOKUP(B68,L_Floor!A:A,L_Floor!I:I,0)+_xlfn.XLOOKUP(B68,L_Roof!A:A,L_Roof!C:C,0)+_xlfn.XLOOKUP(B68,'L_Filling material'!A:A,'L_Filling material'!C:C,0)</f>
        <v>-3492.36</v>
      </c>
      <c r="F68" s="65">
        <f>_xlfn.XLOOKUP(B68,L_Nodes!A:A,L_Nodes!E:E,0)</f>
        <v>-751</v>
      </c>
      <c r="G68" s="65">
        <f>_xlfn.XLOOKUP(B68,L_Nodes!A:A,L_Nodes!F:F,0)</f>
        <v>0</v>
      </c>
      <c r="H68" s="65">
        <f>_xlfn.XLOOKUP(B68,L_Nodes!A:A,L_Nodes!G:G,0)</f>
        <v>0</v>
      </c>
      <c r="I68" s="66" t="str" cm="1">
        <f t="array" ref="I68">IF(SUM(C68:H68)=0,"",TRIM(_xlfn.TEXTJOIN(CHAR(9),TRUE,A68:B68,TEXT(ROUND(C68:H68,1),"0.0"))))</f>
        <v>load	60	0.0	0.0	-3492.4	-751.0	0.0	0.0</v>
      </c>
    </row>
    <row r="69" spans="1:13" x14ac:dyDescent="0.3">
      <c r="A69" s="66" t="s">
        <v>277</v>
      </c>
      <c r="B69" s="68">
        <v>61</v>
      </c>
      <c r="C69" s="65">
        <f>_xlfn.XLOOKUP(B69,L_Nodes!A:A,L_Nodes!B:B,0)</f>
        <v>0</v>
      </c>
      <c r="D69" s="65">
        <f>_xlfn.XLOOKUP(B69,L_Nodes!A:A,L_Nodes!C:C,0)</f>
        <v>0</v>
      </c>
      <c r="E69" s="68">
        <f ca="1">_xlfn.XLOOKUP(B69,L_Nodes!A:A,L_Nodes!D:D,0)+_xlfn.XLOOKUP(B69,L_Floor!A:A,L_Floor!I:I,0)+_xlfn.XLOOKUP(B69,L_Roof!A:A,L_Roof!C:C,0)+_xlfn.XLOOKUP(B69,'L_Filling material'!A:A,'L_Filling material'!C:C,0)</f>
        <v>-1909.4400000000005</v>
      </c>
      <c r="F69" s="65">
        <f>_xlfn.XLOOKUP(B69,L_Nodes!A:A,L_Nodes!E:E,0)</f>
        <v>0</v>
      </c>
      <c r="G69" s="65">
        <f>_xlfn.XLOOKUP(B69,L_Nodes!A:A,L_Nodes!F:F,0)</f>
        <v>0</v>
      </c>
      <c r="H69" s="65">
        <f>_xlfn.XLOOKUP(B69,L_Nodes!A:A,L_Nodes!G:G,0)</f>
        <v>0</v>
      </c>
      <c r="I69" s="66" t="str" cm="1">
        <f t="array" aca="1" ref="I69" ca="1">IF(SUM(C69:H69)=0,"",TRIM(_xlfn.TEXTJOIN(CHAR(9),TRUE,A69:B69,TEXT(ROUND(C69:H69,1),"0.0"))))</f>
        <v>load	61	0.0	0.0	-1909.4	0.0	0.0	0.0</v>
      </c>
    </row>
    <row r="70" spans="1:13" x14ac:dyDescent="0.3">
      <c r="A70" s="66" t="s">
        <v>277</v>
      </c>
      <c r="B70" s="68">
        <v>62</v>
      </c>
      <c r="C70" s="65">
        <f>_xlfn.XLOOKUP(B70,L_Nodes!A:A,L_Nodes!B:B,0)</f>
        <v>0</v>
      </c>
      <c r="D70" s="65">
        <f>_xlfn.XLOOKUP(B70,L_Nodes!A:A,L_Nodes!C:C,0)</f>
        <v>0</v>
      </c>
      <c r="E70" s="68">
        <f ca="1">_xlfn.XLOOKUP(B70,L_Nodes!A:A,L_Nodes!D:D,0)+_xlfn.XLOOKUP(B70,L_Floor!A:A,L_Floor!I:I,0)+_xlfn.XLOOKUP(B70,L_Roof!A:A,L_Roof!C:C,0)+_xlfn.XLOOKUP(B70,'L_Filling material'!A:A,'L_Filling material'!C:C,0)</f>
        <v>-102807.71475299061</v>
      </c>
      <c r="F70" s="65">
        <f>_xlfn.XLOOKUP(B70,L_Nodes!A:A,L_Nodes!E:E,0)</f>
        <v>-42684</v>
      </c>
      <c r="G70" s="65">
        <f>_xlfn.XLOOKUP(B70,L_Nodes!A:A,L_Nodes!F:F,0)</f>
        <v>0</v>
      </c>
      <c r="H70" s="65">
        <f>_xlfn.XLOOKUP(B70,L_Nodes!A:A,L_Nodes!G:G,0)</f>
        <v>0</v>
      </c>
      <c r="I70" s="66" t="str" cm="1">
        <f t="array" aca="1" ref="I70" ca="1">IF(SUM(C70:H70)=0,"",TRIM(_xlfn.TEXTJOIN(CHAR(9),TRUE,A70:B70,TEXT(ROUND(C70:H70,1),"0.0"))))</f>
        <v>load	62	0.0	0.0	-102807.7	-42684.0	0.0	0.0</v>
      </c>
      <c r="M70" s="29"/>
    </row>
    <row r="71" spans="1:13" x14ac:dyDescent="0.3">
      <c r="A71" s="66" t="s">
        <v>277</v>
      </c>
      <c r="B71" s="68">
        <v>63</v>
      </c>
      <c r="C71" s="65">
        <f>_xlfn.XLOOKUP(B71,L_Nodes!A:A,L_Nodes!B:B,0)</f>
        <v>0</v>
      </c>
      <c r="D71" s="65">
        <f>_xlfn.XLOOKUP(B71,L_Nodes!A:A,L_Nodes!C:C,0)</f>
        <v>0</v>
      </c>
      <c r="E71" s="68">
        <f ca="1">_xlfn.XLOOKUP(B71,L_Nodes!A:A,L_Nodes!D:D,0)+_xlfn.XLOOKUP(B71,L_Floor!A:A,L_Floor!I:I,0)+_xlfn.XLOOKUP(B71,L_Roof!A:A,L_Roof!C:C,0)+_xlfn.XLOOKUP(B71,'L_Filling material'!A:A,'L_Filling material'!C:C,0)</f>
        <v>-80426.668840753118</v>
      </c>
      <c r="F71" s="65">
        <f>_xlfn.XLOOKUP(B71,L_Nodes!A:A,L_Nodes!E:E,0)</f>
        <v>-1717</v>
      </c>
      <c r="G71" s="65">
        <f>_xlfn.XLOOKUP(B71,L_Nodes!A:A,L_Nodes!F:F,0)</f>
        <v>0</v>
      </c>
      <c r="H71" s="65">
        <f>_xlfn.XLOOKUP(B71,L_Nodes!A:A,L_Nodes!G:G,0)</f>
        <v>0</v>
      </c>
      <c r="I71" s="66" t="str" cm="1">
        <f t="array" aca="1" ref="I71" ca="1">IF(SUM(C71:H71)=0,"",TRIM(_xlfn.TEXTJOIN(CHAR(9),TRUE,A71:B71,TEXT(ROUND(C71:H71,1),"0.0"))))</f>
        <v>load	63	0.0	0.0	-80426.7	-1717.0	0.0	0.0</v>
      </c>
      <c r="M71" s="29"/>
    </row>
    <row r="72" spans="1:13" x14ac:dyDescent="0.3">
      <c r="A72" s="66" t="s">
        <v>277</v>
      </c>
      <c r="B72" s="68">
        <v>64</v>
      </c>
      <c r="C72" s="65">
        <f>_xlfn.XLOOKUP(B72,L_Nodes!A:A,L_Nodes!B:B,0)</f>
        <v>0</v>
      </c>
      <c r="D72" s="65">
        <f>_xlfn.XLOOKUP(B72,L_Nodes!A:A,L_Nodes!C:C,0)</f>
        <v>0</v>
      </c>
      <c r="E72" s="68">
        <f>_xlfn.XLOOKUP(B72,L_Nodes!A:A,L_Nodes!D:D,0)+_xlfn.XLOOKUP(B72,L_Floor!A:A,L_Floor!I:I,0)+_xlfn.XLOOKUP(B72,L_Roof!A:A,L_Roof!C:C,0)+_xlfn.XLOOKUP(B72,'L_Filling material'!A:A,'L_Filling material'!C:C,0)</f>
        <v>-5752.3245787575006</v>
      </c>
      <c r="F72" s="65">
        <f>_xlfn.XLOOKUP(B72,L_Nodes!A:A,L_Nodes!E:E,0)</f>
        <v>-775</v>
      </c>
      <c r="G72" s="65">
        <f>_xlfn.XLOOKUP(B72,L_Nodes!A:A,L_Nodes!F:F,0)</f>
        <v>0</v>
      </c>
      <c r="H72" s="65">
        <f>_xlfn.XLOOKUP(B72,L_Nodes!A:A,L_Nodes!G:G,0)</f>
        <v>0</v>
      </c>
      <c r="I72" s="66" t="str" cm="1">
        <f t="array" ref="I72">IF(SUM(C72:H72)=0,"",TRIM(_xlfn.TEXTJOIN(CHAR(9),TRUE,A72:B72,TEXT(ROUND(C72:H72,1),"0.0"))))</f>
        <v>load	64	0.0	0.0	-5752.3	-775.0	0.0	0.0</v>
      </c>
      <c r="M72" s="29"/>
    </row>
    <row r="73" spans="1:13" x14ac:dyDescent="0.3">
      <c r="A73" s="66" t="s">
        <v>277</v>
      </c>
      <c r="B73" s="68">
        <v>65</v>
      </c>
      <c r="C73" s="65">
        <f>_xlfn.XLOOKUP(B73,L_Nodes!A:A,L_Nodes!B:B,0)</f>
        <v>0</v>
      </c>
      <c r="D73" s="65">
        <f>_xlfn.XLOOKUP(B73,L_Nodes!A:A,L_Nodes!C:C,0)</f>
        <v>0</v>
      </c>
      <c r="E73" s="68">
        <f>_xlfn.XLOOKUP(B73,L_Nodes!A:A,L_Nodes!D:D,0)+_xlfn.XLOOKUP(B73,L_Floor!A:A,L_Floor!I:I,0)+_xlfn.XLOOKUP(B73,L_Roof!A:A,L_Roof!C:C,0)+_xlfn.XLOOKUP(B73,'L_Filling material'!A:A,'L_Filling material'!C:C,0)</f>
        <v>0</v>
      </c>
      <c r="F73" s="65">
        <f>_xlfn.XLOOKUP(B73,L_Nodes!A:A,L_Nodes!E:E,0)</f>
        <v>0</v>
      </c>
      <c r="G73" s="65">
        <f>_xlfn.XLOOKUP(B73,L_Nodes!A:A,L_Nodes!F:F,0)</f>
        <v>0</v>
      </c>
      <c r="H73" s="65">
        <f>_xlfn.XLOOKUP(B73,L_Nodes!A:A,L_Nodes!G:G,0)</f>
        <v>0</v>
      </c>
      <c r="I73" s="66" t="str" cm="1">
        <f t="array" ref="I73">IF(SUM(C73:H73)=0,"",TRIM(_xlfn.TEXTJOIN(CHAR(9),TRUE,A73:B73,TEXT(ROUND(C73:H73,1),"0.0"))))</f>
        <v/>
      </c>
      <c r="M73" s="29"/>
    </row>
    <row r="74" spans="1:13" x14ac:dyDescent="0.3">
      <c r="A74" s="66" t="s">
        <v>277</v>
      </c>
      <c r="B74" s="68">
        <v>66</v>
      </c>
      <c r="C74" s="65">
        <f>_xlfn.XLOOKUP(B74,L_Nodes!A:A,L_Nodes!B:B,0)</f>
        <v>0</v>
      </c>
      <c r="D74" s="65">
        <f>_xlfn.XLOOKUP(B74,L_Nodes!A:A,L_Nodes!C:C,0)</f>
        <v>0</v>
      </c>
      <c r="E74" s="68">
        <f>_xlfn.XLOOKUP(B74,L_Nodes!A:A,L_Nodes!D:D,0)+_xlfn.XLOOKUP(B74,L_Floor!A:A,L_Floor!I:I,0)+_xlfn.XLOOKUP(B74,L_Roof!A:A,L_Roof!C:C,0)+_xlfn.XLOOKUP(B74,'L_Filling material'!A:A,'L_Filling material'!C:C,0)</f>
        <v>-22545.342000000001</v>
      </c>
      <c r="F74" s="65">
        <f>_xlfn.XLOOKUP(B74,L_Nodes!A:A,L_Nodes!E:E,0)</f>
        <v>-25702</v>
      </c>
      <c r="G74" s="65">
        <f>_xlfn.XLOOKUP(B74,L_Nodes!A:A,L_Nodes!F:F,0)</f>
        <v>0</v>
      </c>
      <c r="H74" s="65">
        <f>_xlfn.XLOOKUP(B74,L_Nodes!A:A,L_Nodes!G:G,0)</f>
        <v>0</v>
      </c>
      <c r="I74" s="66" t="str" cm="1">
        <f t="array" ref="I74">IF(SUM(C74:H74)=0,"",TRIM(_xlfn.TEXTJOIN(CHAR(9),TRUE,A74:B74,TEXT(ROUND(C74:H74,1),"0.0"))))</f>
        <v>load	66	0.0	0.0	-22545.3	-25702.0	0.0	0.0</v>
      </c>
      <c r="M74" s="29"/>
    </row>
    <row r="75" spans="1:13" x14ac:dyDescent="0.3">
      <c r="A75" s="66" t="s">
        <v>277</v>
      </c>
      <c r="B75" s="68">
        <v>67</v>
      </c>
      <c r="C75" s="65">
        <f>_xlfn.XLOOKUP(B75,L_Nodes!A:A,L_Nodes!B:B,0)</f>
        <v>0</v>
      </c>
      <c r="D75" s="65">
        <f>_xlfn.XLOOKUP(B75,L_Nodes!A:A,L_Nodes!C:C,0)</f>
        <v>0</v>
      </c>
      <c r="E75" s="68">
        <f>_xlfn.XLOOKUP(B75,L_Nodes!A:A,L_Nodes!D:D,0)+_xlfn.XLOOKUP(B75,L_Floor!A:A,L_Floor!I:I,0)+_xlfn.XLOOKUP(B75,L_Roof!A:A,L_Roof!C:C,0)+_xlfn.XLOOKUP(B75,'L_Filling material'!A:A,'L_Filling material'!C:C,0)</f>
        <v>0</v>
      </c>
      <c r="F75" s="65">
        <f>_xlfn.XLOOKUP(B75,L_Nodes!A:A,L_Nodes!E:E,0)</f>
        <v>0</v>
      </c>
      <c r="G75" s="65">
        <f>_xlfn.XLOOKUP(B75,L_Nodes!A:A,L_Nodes!F:F,0)</f>
        <v>0</v>
      </c>
      <c r="H75" s="65">
        <f>_xlfn.XLOOKUP(B75,L_Nodes!A:A,L_Nodes!G:G,0)</f>
        <v>0</v>
      </c>
      <c r="I75" s="66" t="str" cm="1">
        <f t="array" ref="I75">IF(SUM(C75:H75)=0,"",TRIM(_xlfn.TEXTJOIN(CHAR(9),TRUE,A75:B75,TEXT(ROUND(C75:H75,1),"0.0"))))</f>
        <v/>
      </c>
      <c r="M75" s="29"/>
    </row>
    <row r="76" spans="1:13" x14ac:dyDescent="0.3">
      <c r="A76" s="66" t="s">
        <v>277</v>
      </c>
      <c r="B76" s="68">
        <v>68</v>
      </c>
      <c r="C76" s="65">
        <f>_xlfn.XLOOKUP(B76,L_Nodes!A:A,L_Nodes!B:B,0)</f>
        <v>0</v>
      </c>
      <c r="D76" s="65">
        <f>_xlfn.XLOOKUP(B76,L_Nodes!A:A,L_Nodes!C:C,0)</f>
        <v>0</v>
      </c>
      <c r="E76" s="68">
        <f>_xlfn.XLOOKUP(B76,L_Nodes!A:A,L_Nodes!D:D,0)+_xlfn.XLOOKUP(B76,L_Floor!A:A,L_Floor!I:I,0)+_xlfn.XLOOKUP(B76,L_Roof!A:A,L_Roof!C:C,0)+_xlfn.XLOOKUP(B76,'L_Filling material'!A:A,'L_Filling material'!C:C,0)</f>
        <v>0</v>
      </c>
      <c r="F76" s="65">
        <f>_xlfn.XLOOKUP(B76,L_Nodes!A:A,L_Nodes!E:E,0)</f>
        <v>0</v>
      </c>
      <c r="G76" s="65">
        <f>_xlfn.XLOOKUP(B76,L_Nodes!A:A,L_Nodes!F:F,0)</f>
        <v>0</v>
      </c>
      <c r="H76" s="65">
        <f>_xlfn.XLOOKUP(B76,L_Nodes!A:A,L_Nodes!G:G,0)</f>
        <v>0</v>
      </c>
      <c r="I76" s="66" t="str" cm="1">
        <f t="array" ref="I76">IF(SUM(C76:H76)=0,"",TRIM(_xlfn.TEXTJOIN(CHAR(9),TRUE,A76:B76,TEXT(ROUND(C76:H76,1),"0.0"))))</f>
        <v/>
      </c>
      <c r="M76" s="29"/>
    </row>
    <row r="77" spans="1:13" x14ac:dyDescent="0.3">
      <c r="A77" s="66" t="s">
        <v>277</v>
      </c>
      <c r="B77" s="68">
        <v>69</v>
      </c>
      <c r="C77" s="65">
        <f>_xlfn.XLOOKUP(B77,L_Nodes!A:A,L_Nodes!B:B,0)</f>
        <v>0</v>
      </c>
      <c r="D77" s="65">
        <f>_xlfn.XLOOKUP(B77,L_Nodes!A:A,L_Nodes!C:C,0)</f>
        <v>0</v>
      </c>
      <c r="E77" s="68">
        <f>_xlfn.XLOOKUP(B77,L_Nodes!A:A,L_Nodes!D:D,0)+_xlfn.XLOOKUP(B77,L_Floor!A:A,L_Floor!I:I,0)+_xlfn.XLOOKUP(B77,L_Roof!A:A,L_Roof!C:C,0)+_xlfn.XLOOKUP(B77,'L_Filling material'!A:A,'L_Filling material'!C:C,0)</f>
        <v>0</v>
      </c>
      <c r="F77" s="65">
        <f>_xlfn.XLOOKUP(B77,L_Nodes!A:A,L_Nodes!E:E,0)</f>
        <v>0</v>
      </c>
      <c r="G77" s="65">
        <f>_xlfn.XLOOKUP(B77,L_Nodes!A:A,L_Nodes!F:F,0)</f>
        <v>0</v>
      </c>
      <c r="H77" s="65">
        <f>_xlfn.XLOOKUP(B77,L_Nodes!A:A,L_Nodes!G:G,0)</f>
        <v>0</v>
      </c>
      <c r="I77" s="66" t="str" cm="1">
        <f t="array" ref="I77">IF(SUM(C77:H77)=0,"",TRIM(_xlfn.TEXTJOIN(CHAR(9),TRUE,A77:B77,TEXT(ROUND(C77:H77,1),"0.0"))))</f>
        <v/>
      </c>
      <c r="M77" s="29"/>
    </row>
    <row r="78" spans="1:13" x14ac:dyDescent="0.3">
      <c r="A78" s="66" t="s">
        <v>277</v>
      </c>
      <c r="B78" s="68">
        <v>70</v>
      </c>
      <c r="C78" s="65">
        <f>_xlfn.XLOOKUP(B78,L_Nodes!A:A,L_Nodes!B:B,0)</f>
        <v>0</v>
      </c>
      <c r="D78" s="65">
        <f>_xlfn.XLOOKUP(B78,L_Nodes!A:A,L_Nodes!C:C,0)</f>
        <v>0</v>
      </c>
      <c r="E78" s="68">
        <f>_xlfn.XLOOKUP(B78,L_Nodes!A:A,L_Nodes!D:D,0)+_xlfn.XLOOKUP(B78,L_Floor!A:A,L_Floor!I:I,0)+_xlfn.XLOOKUP(B78,L_Roof!A:A,L_Roof!C:C,0)+_xlfn.XLOOKUP(B78,'L_Filling material'!A:A,'L_Filling material'!C:C,0)</f>
        <v>-52126.734000000004</v>
      </c>
      <c r="F78" s="65">
        <f>_xlfn.XLOOKUP(B78,L_Nodes!A:A,L_Nodes!E:E,0)</f>
        <v>0</v>
      </c>
      <c r="G78" s="65">
        <f>_xlfn.XLOOKUP(B78,L_Nodes!A:A,L_Nodes!F:F,0)</f>
        <v>-49184</v>
      </c>
      <c r="H78" s="65">
        <f>_xlfn.XLOOKUP(B78,L_Nodes!A:A,L_Nodes!G:G,0)</f>
        <v>0</v>
      </c>
      <c r="I78" s="66" t="str" cm="1">
        <f t="array" ref="I78">IF(SUM(C78:H78)=0,"",TRIM(_xlfn.TEXTJOIN(CHAR(9),TRUE,A78:B78,TEXT(ROUND(C78:H78,1),"0.0"))))</f>
        <v>load	70	0.0	0.0	-52126.7	0.0	-49184.0	0.0</v>
      </c>
      <c r="M78" s="29"/>
    </row>
    <row r="79" spans="1:13" x14ac:dyDescent="0.3">
      <c r="A79" s="66" t="s">
        <v>277</v>
      </c>
      <c r="B79" s="68">
        <v>71</v>
      </c>
      <c r="C79" s="65">
        <f>_xlfn.XLOOKUP(B79,L_Nodes!A:A,L_Nodes!B:B,0)</f>
        <v>0</v>
      </c>
      <c r="D79" s="65">
        <f>_xlfn.XLOOKUP(B79,L_Nodes!A:A,L_Nodes!C:C,0)</f>
        <v>0</v>
      </c>
      <c r="E79" s="68">
        <f>_xlfn.XLOOKUP(B79,L_Nodes!A:A,L_Nodes!D:D,0)+_xlfn.XLOOKUP(B79,L_Floor!A:A,L_Floor!I:I,0)+_xlfn.XLOOKUP(B79,L_Roof!A:A,L_Roof!C:C,0)+_xlfn.XLOOKUP(B79,'L_Filling material'!A:A,'L_Filling material'!C:C,0)</f>
        <v>-62954.036000000007</v>
      </c>
      <c r="F79" s="65">
        <f>_xlfn.XLOOKUP(B79,L_Nodes!A:A,L_Nodes!E:E,0)</f>
        <v>0</v>
      </c>
      <c r="G79" s="65">
        <f>_xlfn.XLOOKUP(B79,L_Nodes!A:A,L_Nodes!F:F,0)</f>
        <v>-29607</v>
      </c>
      <c r="H79" s="65">
        <f>_xlfn.XLOOKUP(B79,L_Nodes!A:A,L_Nodes!G:G,0)</f>
        <v>0</v>
      </c>
      <c r="I79" s="66" t="str" cm="1">
        <f t="array" ref="I79">IF(SUM(C79:H79)=0,"",TRIM(_xlfn.TEXTJOIN(CHAR(9),TRUE,A79:B79,TEXT(ROUND(C79:H79,1),"0.0"))))</f>
        <v>load	71	0.0	0.0	-62954.0	0.0	-29607.0	0.0</v>
      </c>
      <c r="M79" s="29"/>
    </row>
    <row r="80" spans="1:13" x14ac:dyDescent="0.3">
      <c r="A80" s="66" t="s">
        <v>277</v>
      </c>
      <c r="B80" s="68">
        <v>72</v>
      </c>
      <c r="C80" s="65">
        <f>_xlfn.XLOOKUP(B80,L_Nodes!A:A,L_Nodes!B:B,0)</f>
        <v>0</v>
      </c>
      <c r="D80" s="65">
        <f>_xlfn.XLOOKUP(B80,L_Nodes!A:A,L_Nodes!C:C,0)</f>
        <v>0</v>
      </c>
      <c r="E80" s="68">
        <f ca="1">_xlfn.XLOOKUP(B80,L_Nodes!A:A,L_Nodes!D:D,0)+_xlfn.XLOOKUP(B80,L_Floor!A:A,L_Floor!I:I,0)+_xlfn.XLOOKUP(B80,L_Roof!A:A,L_Roof!C:C,0)+_xlfn.XLOOKUP(B80,'L_Filling material'!A:A,'L_Filling material'!C:C,0)</f>
        <v>-43520.764999999999</v>
      </c>
      <c r="F80" s="65">
        <f>_xlfn.XLOOKUP(B80,L_Nodes!A:A,L_Nodes!E:E,0)</f>
        <v>0</v>
      </c>
      <c r="G80" s="65">
        <f>_xlfn.XLOOKUP(B80,L_Nodes!A:A,L_Nodes!F:F,0)</f>
        <v>-13656</v>
      </c>
      <c r="H80" s="65">
        <f>_xlfn.XLOOKUP(B80,L_Nodes!A:A,L_Nodes!G:G,0)</f>
        <v>0</v>
      </c>
      <c r="I80" s="66" t="str" cm="1">
        <f t="array" aca="1" ref="I80" ca="1">IF(SUM(C80:H80)=0,"",TRIM(_xlfn.TEXTJOIN(CHAR(9),TRUE,A80:B80,TEXT(ROUND(C80:H80,1),"0.0"))))</f>
        <v>load	72	0.0	0.0	-43520.8	0.0	-13656.0	0.0</v>
      </c>
      <c r="M80" s="29"/>
    </row>
    <row r="81" spans="1:13" x14ac:dyDescent="0.3">
      <c r="A81" s="66" t="s">
        <v>277</v>
      </c>
      <c r="B81" s="68">
        <v>73</v>
      </c>
      <c r="C81" s="65">
        <f>_xlfn.XLOOKUP(B81,L_Nodes!A:A,L_Nodes!B:B,0)</f>
        <v>0</v>
      </c>
      <c r="D81" s="65">
        <f>_xlfn.XLOOKUP(B81,L_Nodes!A:A,L_Nodes!C:C,0)</f>
        <v>0</v>
      </c>
      <c r="E81" s="68">
        <f ca="1">_xlfn.XLOOKUP(B81,L_Nodes!A:A,L_Nodes!D:D,0)+_xlfn.XLOOKUP(B81,L_Floor!A:A,L_Floor!I:I,0)+_xlfn.XLOOKUP(B81,L_Roof!A:A,L_Roof!C:C,0)+_xlfn.XLOOKUP(B81,'L_Filling material'!A:A,'L_Filling material'!C:C,0)</f>
        <v>-34123.054829200439</v>
      </c>
      <c r="F81" s="65">
        <f>_xlfn.XLOOKUP(B81,L_Nodes!A:A,L_Nodes!E:E,0)</f>
        <v>0</v>
      </c>
      <c r="G81" s="65">
        <f>_xlfn.XLOOKUP(B81,L_Nodes!A:A,L_Nodes!F:F,0)</f>
        <v>-40631</v>
      </c>
      <c r="H81" s="65">
        <f>_xlfn.XLOOKUP(B81,L_Nodes!A:A,L_Nodes!G:G,0)</f>
        <v>0</v>
      </c>
      <c r="I81" s="66" t="str" cm="1">
        <f t="array" aca="1" ref="I81" ca="1">IF(SUM(C81:H81)=0,"",TRIM(_xlfn.TEXTJOIN(CHAR(9),TRUE,A81:B81,TEXT(ROUND(C81:H81,1),"0.0"))))</f>
        <v>load	73	0.0	0.0	-34123.1	0.0	-40631.0	0.0</v>
      </c>
      <c r="M81" s="29"/>
    </row>
    <row r="82" spans="1:13" x14ac:dyDescent="0.3">
      <c r="A82" s="66" t="s">
        <v>277</v>
      </c>
      <c r="B82" s="68">
        <v>74</v>
      </c>
      <c r="C82" s="65">
        <f>_xlfn.XLOOKUP(B82,L_Nodes!A:A,L_Nodes!B:B,0)</f>
        <v>0</v>
      </c>
      <c r="D82" s="65">
        <f>_xlfn.XLOOKUP(B82,L_Nodes!A:A,L_Nodes!C:C,0)</f>
        <v>0</v>
      </c>
      <c r="E82" s="68">
        <f ca="1">_xlfn.XLOOKUP(B82,L_Nodes!A:A,L_Nodes!D:D,0)+_xlfn.XLOOKUP(B82,L_Floor!A:A,L_Floor!I:I,0)+_xlfn.XLOOKUP(B82,L_Roof!A:A,L_Roof!C:C,0)+_xlfn.XLOOKUP(B82,'L_Filling material'!A:A,'L_Filling material'!C:C,0)</f>
        <v>-88995.05732229774</v>
      </c>
      <c r="F82" s="65">
        <f>_xlfn.XLOOKUP(B82,L_Nodes!A:A,L_Nodes!E:E,0)</f>
        <v>0</v>
      </c>
      <c r="G82" s="65">
        <f>_xlfn.XLOOKUP(B82,L_Nodes!A:A,L_Nodes!F:F,0)</f>
        <v>-33630</v>
      </c>
      <c r="H82" s="65">
        <f>_xlfn.XLOOKUP(B82,L_Nodes!A:A,L_Nodes!G:G,0)</f>
        <v>0</v>
      </c>
      <c r="I82" s="66" t="str" cm="1">
        <f t="array" aca="1" ref="I82" ca="1">IF(SUM(C82:H82)=0,"",TRIM(_xlfn.TEXTJOIN(CHAR(9),TRUE,A82:B82,TEXT(ROUND(C82:H82,1),"0.0"))))</f>
        <v>load	74	0.0	0.0	-88995.1	0.0	-33630.0	0.0</v>
      </c>
      <c r="M82" s="29"/>
    </row>
    <row r="83" spans="1:13" x14ac:dyDescent="0.3">
      <c r="A83" s="66" t="s">
        <v>277</v>
      </c>
      <c r="B83" s="68">
        <v>75</v>
      </c>
      <c r="C83" s="65">
        <f>_xlfn.XLOOKUP(B83,L_Nodes!A:A,L_Nodes!B:B,0)</f>
        <v>0</v>
      </c>
      <c r="D83" s="65">
        <f>_xlfn.XLOOKUP(B83,L_Nodes!A:A,L_Nodes!C:C,0)</f>
        <v>0</v>
      </c>
      <c r="E83" s="68">
        <f ca="1">_xlfn.XLOOKUP(B83,L_Nodes!A:A,L_Nodes!D:D,0)+_xlfn.XLOOKUP(B83,L_Floor!A:A,L_Floor!I:I,0)+_xlfn.XLOOKUP(B83,L_Roof!A:A,L_Roof!C:C,0)+_xlfn.XLOOKUP(B83,'L_Filling material'!A:A,'L_Filling material'!C:C,0)</f>
        <v>-98240.982322297757</v>
      </c>
      <c r="F83" s="65">
        <f>_xlfn.XLOOKUP(B83,L_Nodes!A:A,L_Nodes!E:E,0)</f>
        <v>0</v>
      </c>
      <c r="G83" s="65">
        <f>_xlfn.XLOOKUP(B83,L_Nodes!A:A,L_Nodes!F:F,0)</f>
        <v>-35524</v>
      </c>
      <c r="H83" s="65">
        <f>_xlfn.XLOOKUP(B83,L_Nodes!A:A,L_Nodes!G:G,0)</f>
        <v>0</v>
      </c>
      <c r="I83" s="66" t="str" cm="1">
        <f t="array" aca="1" ref="I83" ca="1">IF(SUM(C83:H83)=0,"",TRIM(_xlfn.TEXTJOIN(CHAR(9),TRUE,A83:B83,TEXT(ROUND(C83:H83,1),"0.0"))))</f>
        <v>load	75	0.0	0.0	-98241.0	0.0	-35524.0	0.0</v>
      </c>
      <c r="M83" s="29"/>
    </row>
    <row r="84" spans="1:13" x14ac:dyDescent="0.3">
      <c r="A84" s="66" t="s">
        <v>277</v>
      </c>
      <c r="B84" s="68">
        <v>76</v>
      </c>
      <c r="C84" s="65">
        <f>_xlfn.XLOOKUP(B84,L_Nodes!A:A,L_Nodes!B:B,0)</f>
        <v>0</v>
      </c>
      <c r="D84" s="65">
        <f>_xlfn.XLOOKUP(B84,L_Nodes!A:A,L_Nodes!C:C,0)</f>
        <v>0</v>
      </c>
      <c r="E84" s="68">
        <f>_xlfn.XLOOKUP(B84,L_Nodes!A:A,L_Nodes!D:D,0)+_xlfn.XLOOKUP(B84,L_Floor!A:A,L_Floor!I:I,0)+_xlfn.XLOOKUP(B84,L_Roof!A:A,L_Roof!C:C,0)+_xlfn.XLOOKUP(B84,'L_Filling material'!A:A,'L_Filling material'!C:C,0)</f>
        <v>0</v>
      </c>
      <c r="F84" s="65">
        <f>_xlfn.XLOOKUP(B84,L_Nodes!A:A,L_Nodes!E:E,0)</f>
        <v>0</v>
      </c>
      <c r="G84" s="65">
        <f>_xlfn.XLOOKUP(B84,L_Nodes!A:A,L_Nodes!F:F,0)</f>
        <v>0</v>
      </c>
      <c r="H84" s="65">
        <f>_xlfn.XLOOKUP(B84,L_Nodes!A:A,L_Nodes!G:G,0)</f>
        <v>0</v>
      </c>
      <c r="I84" s="66" t="str" cm="1">
        <f t="array" ref="I84">IF(SUM(C84:H84)=0,"",TRIM(_xlfn.TEXTJOIN(CHAR(9),TRUE,A84:B84,TEXT(ROUND(C84:H84,1),"0.0"))))</f>
        <v/>
      </c>
      <c r="M84" s="29"/>
    </row>
    <row r="85" spans="1:13" x14ac:dyDescent="0.3">
      <c r="A85" s="66" t="s">
        <v>277</v>
      </c>
      <c r="B85" s="68">
        <v>77</v>
      </c>
      <c r="C85" s="65">
        <f>_xlfn.XLOOKUP(B85,L_Nodes!A:A,L_Nodes!B:B,0)</f>
        <v>0</v>
      </c>
      <c r="D85" s="65">
        <f>_xlfn.XLOOKUP(B85,L_Nodes!A:A,L_Nodes!C:C,0)</f>
        <v>0</v>
      </c>
      <c r="E85" s="68">
        <f>_xlfn.XLOOKUP(B85,L_Nodes!A:A,L_Nodes!D:D,0)+_xlfn.XLOOKUP(B85,L_Floor!A:A,L_Floor!I:I,0)+_xlfn.XLOOKUP(B85,L_Roof!A:A,L_Roof!C:C,0)+_xlfn.XLOOKUP(B85,'L_Filling material'!A:A,'L_Filling material'!C:C,0)</f>
        <v>0</v>
      </c>
      <c r="F85" s="65">
        <f>_xlfn.XLOOKUP(B85,L_Nodes!A:A,L_Nodes!E:E,0)</f>
        <v>0</v>
      </c>
      <c r="G85" s="65">
        <f>_xlfn.XLOOKUP(B85,L_Nodes!A:A,L_Nodes!F:F,0)</f>
        <v>0</v>
      </c>
      <c r="H85" s="65">
        <f>_xlfn.XLOOKUP(B85,L_Nodes!A:A,L_Nodes!G:G,0)</f>
        <v>0</v>
      </c>
      <c r="I85" s="66" t="str" cm="1">
        <f t="array" ref="I85">IF(SUM(C85:H85)=0,"",TRIM(_xlfn.TEXTJOIN(CHAR(9),TRUE,A85:B85,TEXT(ROUND(C85:H85,1),"0.0"))))</f>
        <v/>
      </c>
      <c r="M85" s="29"/>
    </row>
    <row r="86" spans="1:13" x14ac:dyDescent="0.3">
      <c r="A86" s="66" t="s">
        <v>277</v>
      </c>
      <c r="B86" s="68">
        <v>78</v>
      </c>
      <c r="C86" s="65">
        <f>_xlfn.XLOOKUP(B86,L_Nodes!A:A,L_Nodes!B:B,0)</f>
        <v>0</v>
      </c>
      <c r="D86" s="65">
        <f>_xlfn.XLOOKUP(B86,L_Nodes!A:A,L_Nodes!C:C,0)</f>
        <v>0</v>
      </c>
      <c r="E86" s="68">
        <f>_xlfn.XLOOKUP(B86,L_Nodes!A:A,L_Nodes!D:D,0)+_xlfn.XLOOKUP(B86,L_Floor!A:A,L_Floor!I:I,0)+_xlfn.XLOOKUP(B86,L_Roof!A:A,L_Roof!C:C,0)+_xlfn.XLOOKUP(B86,'L_Filling material'!A:A,'L_Filling material'!C:C,0)</f>
        <v>-20567.646000000001</v>
      </c>
      <c r="F86" s="65">
        <f>_xlfn.XLOOKUP(B86,L_Nodes!A:A,L_Nodes!E:E,0)</f>
        <v>0</v>
      </c>
      <c r="G86" s="65">
        <f>_xlfn.XLOOKUP(B86,L_Nodes!A:A,L_Nodes!F:F,0)</f>
        <v>-21391</v>
      </c>
      <c r="H86" s="65">
        <f>_xlfn.XLOOKUP(B86,L_Nodes!A:A,L_Nodes!G:G,0)</f>
        <v>0</v>
      </c>
      <c r="I86" s="66" t="str" cm="1">
        <f t="array" ref="I86">IF(SUM(C86:H86)=0,"",TRIM(_xlfn.TEXTJOIN(CHAR(9),TRUE,A86:B86,TEXT(ROUND(C86:H86,1),"0.0"))))</f>
        <v>load	78	0.0	0.0	-20567.6	0.0	-21391.0	0.0</v>
      </c>
      <c r="M86" s="29"/>
    </row>
    <row r="87" spans="1:13" x14ac:dyDescent="0.3">
      <c r="A87" s="66" t="s">
        <v>277</v>
      </c>
      <c r="B87" s="68">
        <v>79</v>
      </c>
      <c r="C87" s="65">
        <f>_xlfn.XLOOKUP(B87,L_Nodes!A:A,L_Nodes!B:B,0)</f>
        <v>0</v>
      </c>
      <c r="D87" s="65">
        <f>_xlfn.XLOOKUP(B87,L_Nodes!A:A,L_Nodes!C:C,0)</f>
        <v>0</v>
      </c>
      <c r="E87" s="68">
        <f>_xlfn.XLOOKUP(B87,L_Nodes!A:A,L_Nodes!D:D,0)+_xlfn.XLOOKUP(B87,L_Floor!A:A,L_Floor!I:I,0)+_xlfn.XLOOKUP(B87,L_Roof!A:A,L_Roof!C:C,0)+_xlfn.XLOOKUP(B87,'L_Filling material'!A:A,'L_Filling material'!C:C,0)</f>
        <v>-18113.184000000001</v>
      </c>
      <c r="F87" s="65">
        <f>_xlfn.XLOOKUP(B87,L_Nodes!A:A,L_Nodes!E:E,0)</f>
        <v>20197</v>
      </c>
      <c r="G87" s="65">
        <f>_xlfn.XLOOKUP(B87,L_Nodes!A:A,L_Nodes!F:F,0)</f>
        <v>0</v>
      </c>
      <c r="H87" s="65">
        <f>_xlfn.XLOOKUP(B87,L_Nodes!A:A,L_Nodes!G:G,0)</f>
        <v>0</v>
      </c>
      <c r="I87" s="66" t="str" cm="1">
        <f t="array" ref="I87">IF(SUM(C87:H87)=0,"",TRIM(_xlfn.TEXTJOIN(CHAR(9),TRUE,A87:B87,TEXT(ROUND(C87:H87,1),"0.0"))))</f>
        <v>load	79	0.0	0.0	-18113.2	20197.0	0.0	0.0</v>
      </c>
      <c r="M87" s="29"/>
    </row>
    <row r="88" spans="1:13" x14ac:dyDescent="0.3">
      <c r="A88" s="66" t="s">
        <v>277</v>
      </c>
      <c r="B88" s="68">
        <v>80</v>
      </c>
      <c r="C88" s="65">
        <f>_xlfn.XLOOKUP(B88,L_Nodes!A:A,L_Nodes!B:B,0)</f>
        <v>0</v>
      </c>
      <c r="D88" s="65">
        <f>_xlfn.XLOOKUP(B88,L_Nodes!A:A,L_Nodes!C:C,0)</f>
        <v>0</v>
      </c>
      <c r="E88" s="68">
        <f>_xlfn.XLOOKUP(B88,L_Nodes!A:A,L_Nodes!D:D,0)+_xlfn.XLOOKUP(B88,L_Floor!A:A,L_Floor!I:I,0)+_xlfn.XLOOKUP(B88,L_Roof!A:A,L_Roof!C:C,0)+_xlfn.XLOOKUP(B88,'L_Filling material'!A:A,'L_Filling material'!C:C,0)</f>
        <v>-18113.184000000001</v>
      </c>
      <c r="F88" s="65">
        <f>_xlfn.XLOOKUP(B88,L_Nodes!A:A,L_Nodes!E:E,0)</f>
        <v>20197</v>
      </c>
      <c r="G88" s="65">
        <f>_xlfn.XLOOKUP(B88,L_Nodes!A:A,L_Nodes!F:F,0)</f>
        <v>0</v>
      </c>
      <c r="H88" s="65">
        <f>_xlfn.XLOOKUP(B88,L_Nodes!A:A,L_Nodes!G:G,0)</f>
        <v>0</v>
      </c>
      <c r="I88" s="66" t="str" cm="1">
        <f t="array" ref="I88">IF(SUM(C88:H88)=0,"",TRIM(_xlfn.TEXTJOIN(CHAR(9),TRUE,A88:B88,TEXT(ROUND(C88:H88,1),"0.0"))))</f>
        <v>load	80	0.0	0.0	-18113.2	20197.0	0.0	0.0</v>
      </c>
      <c r="M88" s="29"/>
    </row>
    <row r="89" spans="1:13" x14ac:dyDescent="0.3">
      <c r="A89" s="66" t="s">
        <v>277</v>
      </c>
      <c r="B89" s="68">
        <v>81</v>
      </c>
      <c r="C89" s="65">
        <f>_xlfn.XLOOKUP(B89,L_Nodes!A:A,L_Nodes!B:B,0)</f>
        <v>0</v>
      </c>
      <c r="D89" s="65">
        <f>_xlfn.XLOOKUP(B89,L_Nodes!A:A,L_Nodes!C:C,0)</f>
        <v>0</v>
      </c>
      <c r="E89" s="68">
        <f ca="1">_xlfn.XLOOKUP(B89,L_Nodes!A:A,L_Nodes!D:D,0)+_xlfn.XLOOKUP(B89,L_Floor!A:A,L_Floor!I:I,0)+_xlfn.XLOOKUP(B89,L_Roof!A:A,L_Roof!C:C,0)+_xlfn.XLOOKUP(B89,'L_Filling material'!A:A,'L_Filling material'!C:C,0)</f>
        <v>-24991.116052863435</v>
      </c>
      <c r="F89" s="65">
        <f>_xlfn.XLOOKUP(B89,L_Nodes!A:A,L_Nodes!E:E,0)</f>
        <v>16408</v>
      </c>
      <c r="G89" s="65">
        <f>_xlfn.XLOOKUP(B89,L_Nodes!A:A,L_Nodes!F:F,0)</f>
        <v>0</v>
      </c>
      <c r="H89" s="65">
        <f>_xlfn.XLOOKUP(B89,L_Nodes!A:A,L_Nodes!G:G,0)</f>
        <v>0</v>
      </c>
      <c r="I89" s="66" t="str" cm="1">
        <f t="array" aca="1" ref="I89" ca="1">IF(SUM(C89:H89)=0,"",TRIM(_xlfn.TEXTJOIN(CHAR(9),TRUE,A89:B89,TEXT(ROUND(C89:H89,1),"0.0"))))</f>
        <v>load	81	0.0	0.0	-24991.1	16408.0	0.0	0.0</v>
      </c>
      <c r="M89" s="29"/>
    </row>
    <row r="90" spans="1:13" x14ac:dyDescent="0.3">
      <c r="A90" s="66" t="s">
        <v>277</v>
      </c>
      <c r="B90" s="68">
        <v>82</v>
      </c>
      <c r="C90" s="65">
        <f>_xlfn.XLOOKUP(B90,L_Nodes!A:A,L_Nodes!B:B,0)</f>
        <v>0</v>
      </c>
      <c r="D90" s="65">
        <f>_xlfn.XLOOKUP(B90,L_Nodes!A:A,L_Nodes!C:C,0)</f>
        <v>0</v>
      </c>
      <c r="E90" s="68">
        <f>_xlfn.XLOOKUP(B90,L_Nodes!A:A,L_Nodes!D:D,0)+_xlfn.XLOOKUP(B90,L_Floor!A:A,L_Floor!I:I,0)+_xlfn.XLOOKUP(B90,L_Roof!A:A,L_Roof!C:C,0)+_xlfn.XLOOKUP(B90,'L_Filling material'!A:A,'L_Filling material'!C:C,0)</f>
        <v>-18704.727000000003</v>
      </c>
      <c r="F90" s="65">
        <f>_xlfn.XLOOKUP(B90,L_Nodes!A:A,L_Nodes!E:E,0)</f>
        <v>20855</v>
      </c>
      <c r="G90" s="65">
        <f>_xlfn.XLOOKUP(B90,L_Nodes!A:A,L_Nodes!F:F,0)</f>
        <v>0</v>
      </c>
      <c r="H90" s="65">
        <f>_xlfn.XLOOKUP(B90,L_Nodes!A:A,L_Nodes!G:G,0)</f>
        <v>0</v>
      </c>
      <c r="I90" s="66" t="str" cm="1">
        <f t="array" ref="I90">IF(SUM(C90:H90)=0,"",TRIM(_xlfn.TEXTJOIN(CHAR(9),TRUE,A90:B90,TEXT(ROUND(C90:H90,1),"0.0"))))</f>
        <v>load	82	0.0	0.0	-18704.7	20855.0	0.0	0.0</v>
      </c>
      <c r="M90" s="29"/>
    </row>
    <row r="91" spans="1:13" x14ac:dyDescent="0.3">
      <c r="A91" s="66" t="s">
        <v>277</v>
      </c>
      <c r="B91" s="68">
        <v>83</v>
      </c>
      <c r="C91" s="65">
        <f>_xlfn.XLOOKUP(B91,L_Nodes!A:A,L_Nodes!B:B,0)</f>
        <v>0</v>
      </c>
      <c r="D91" s="65">
        <f>_xlfn.XLOOKUP(B91,L_Nodes!A:A,L_Nodes!C:C,0)</f>
        <v>0</v>
      </c>
      <c r="E91" s="68">
        <f>_xlfn.XLOOKUP(B91,L_Nodes!A:A,L_Nodes!D:D,0)+_xlfn.XLOOKUP(B91,L_Floor!A:A,L_Floor!I:I,0)+_xlfn.XLOOKUP(B91,L_Roof!A:A,L_Roof!C:C,0)+_xlfn.XLOOKUP(B91,'L_Filling material'!A:A,'L_Filling material'!C:C,0)</f>
        <v>-18704.727000000003</v>
      </c>
      <c r="F91" s="65">
        <f>_xlfn.XLOOKUP(B91,L_Nodes!A:A,L_Nodes!E:E,0)</f>
        <v>20855</v>
      </c>
      <c r="G91" s="65">
        <f>_xlfn.XLOOKUP(B91,L_Nodes!A:A,L_Nodes!F:F,0)</f>
        <v>0</v>
      </c>
      <c r="H91" s="65">
        <f>_xlfn.XLOOKUP(B91,L_Nodes!A:A,L_Nodes!G:G,0)</f>
        <v>0</v>
      </c>
      <c r="I91" s="66" t="str" cm="1">
        <f t="array" ref="I91">IF(SUM(C91:H91)=0,"",TRIM(_xlfn.TEXTJOIN(CHAR(9),TRUE,A91:B91,TEXT(ROUND(C91:H91,1),"0.0"))))</f>
        <v>load	83	0.0	0.0	-18704.7	20855.0	0.0	0.0</v>
      </c>
      <c r="M91" s="29"/>
    </row>
    <row r="92" spans="1:13" x14ac:dyDescent="0.3">
      <c r="A92" s="66" t="s">
        <v>277</v>
      </c>
      <c r="B92" s="68">
        <v>84</v>
      </c>
      <c r="C92" s="65">
        <f>_xlfn.XLOOKUP(B92,L_Nodes!A:A,L_Nodes!B:B,0)</f>
        <v>0</v>
      </c>
      <c r="D92" s="65">
        <f>_xlfn.XLOOKUP(B92,L_Nodes!A:A,L_Nodes!C:C,0)</f>
        <v>0</v>
      </c>
      <c r="E92" s="68">
        <f>_xlfn.XLOOKUP(B92,L_Nodes!A:A,L_Nodes!D:D,0)+_xlfn.XLOOKUP(B92,L_Floor!A:A,L_Floor!I:I,0)+_xlfn.XLOOKUP(B92,L_Roof!A:A,L_Roof!C:C,0)+_xlfn.XLOOKUP(B92,'L_Filling material'!A:A,'L_Filling material'!C:C,0)</f>
        <v>-37441.826999999997</v>
      </c>
      <c r="F92" s="65">
        <f>_xlfn.XLOOKUP(B92,L_Nodes!A:A,L_Nodes!E:E,0)</f>
        <v>42684</v>
      </c>
      <c r="G92" s="65">
        <f>_xlfn.XLOOKUP(B92,L_Nodes!A:A,L_Nodes!F:F,0)</f>
        <v>0</v>
      </c>
      <c r="H92" s="65">
        <f>_xlfn.XLOOKUP(B92,L_Nodes!A:A,L_Nodes!G:G,0)</f>
        <v>0</v>
      </c>
      <c r="I92" s="66" t="str" cm="1">
        <f t="array" ref="I92">IF(SUM(C92:H92)=0,"",TRIM(_xlfn.TEXTJOIN(CHAR(9),TRUE,A92:B92,TEXT(ROUND(C92:H92,1),"0.0"))))</f>
        <v>load	84	0.0	0.0	-37441.8	42684.0	0.0	0.0</v>
      </c>
      <c r="M92" s="29"/>
    </row>
    <row r="93" spans="1:13" x14ac:dyDescent="0.3">
      <c r="A93" s="66" t="s">
        <v>277</v>
      </c>
      <c r="B93" s="68">
        <v>85</v>
      </c>
      <c r="C93" s="65">
        <f>_xlfn.XLOOKUP(B93,L_Nodes!A:A,L_Nodes!B:B,0)</f>
        <v>0</v>
      </c>
      <c r="D93" s="65">
        <f>_xlfn.XLOOKUP(B93,L_Nodes!A:A,L_Nodes!C:C,0)</f>
        <v>0</v>
      </c>
      <c r="E93" s="68">
        <f>_xlfn.XLOOKUP(B93,L_Nodes!A:A,L_Nodes!D:D,0)+_xlfn.XLOOKUP(B93,L_Floor!A:A,L_Floor!I:I,0)+_xlfn.XLOOKUP(B93,L_Roof!A:A,L_Roof!C:C,0)+_xlfn.XLOOKUP(B93,'L_Filling material'!A:A,'L_Filling material'!C:C,0)</f>
        <v>0</v>
      </c>
      <c r="F93" s="65">
        <f>_xlfn.XLOOKUP(B93,L_Nodes!A:A,L_Nodes!E:E,0)</f>
        <v>0</v>
      </c>
      <c r="G93" s="65">
        <f>_xlfn.XLOOKUP(B93,L_Nodes!A:A,L_Nodes!F:F,0)</f>
        <v>0</v>
      </c>
      <c r="H93" s="65">
        <f>_xlfn.XLOOKUP(B93,L_Nodes!A:A,L_Nodes!G:G,0)</f>
        <v>0</v>
      </c>
      <c r="I93" s="66" t="str" cm="1">
        <f t="array" ref="I93">IF(SUM(C93:H93)=0,"",TRIM(_xlfn.TEXTJOIN(CHAR(9),TRUE,A93:B93,TEXT(ROUND(C93:H93,1),"0.0"))))</f>
        <v/>
      </c>
      <c r="M93" s="29"/>
    </row>
    <row r="94" spans="1:13" x14ac:dyDescent="0.3">
      <c r="A94" s="66" t="s">
        <v>277</v>
      </c>
      <c r="B94" s="68">
        <v>86</v>
      </c>
      <c r="C94" s="65">
        <f>_xlfn.XLOOKUP(B94,L_Nodes!A:A,L_Nodes!B:B,0)</f>
        <v>0</v>
      </c>
      <c r="D94" s="65">
        <f>_xlfn.XLOOKUP(B94,L_Nodes!A:A,L_Nodes!C:C,0)</f>
        <v>0</v>
      </c>
      <c r="E94" s="68">
        <f>_xlfn.XLOOKUP(B94,L_Nodes!A:A,L_Nodes!D:D,0)+_xlfn.XLOOKUP(B94,L_Floor!A:A,L_Floor!I:I,0)+_xlfn.XLOOKUP(B94,L_Roof!A:A,L_Roof!C:C,0)+_xlfn.XLOOKUP(B94,'L_Filling material'!A:A,'L_Filling material'!C:C,0)</f>
        <v>0</v>
      </c>
      <c r="F94" s="65">
        <f>_xlfn.XLOOKUP(B94,L_Nodes!A:A,L_Nodes!E:E,0)</f>
        <v>0</v>
      </c>
      <c r="G94" s="65">
        <f>_xlfn.XLOOKUP(B94,L_Nodes!A:A,L_Nodes!F:F,0)</f>
        <v>0</v>
      </c>
      <c r="H94" s="65">
        <f>_xlfn.XLOOKUP(B94,L_Nodes!A:A,L_Nodes!G:G,0)</f>
        <v>0</v>
      </c>
      <c r="I94" s="66" t="str" cm="1">
        <f t="array" ref="I94">IF(SUM(C94:H94)=0,"",TRIM(_xlfn.TEXTJOIN(CHAR(9),TRUE,A94:B94,TEXT(ROUND(C94:H94,1),"0.0"))))</f>
        <v/>
      </c>
      <c r="M94" s="29"/>
    </row>
    <row r="95" spans="1:13" x14ac:dyDescent="0.3">
      <c r="A95" s="66" t="s">
        <v>277</v>
      </c>
      <c r="B95" s="68">
        <v>87</v>
      </c>
      <c r="C95" s="65">
        <f>_xlfn.XLOOKUP(B95,L_Nodes!A:A,L_Nodes!B:B,0)</f>
        <v>0</v>
      </c>
      <c r="D95" s="65">
        <f>_xlfn.XLOOKUP(B95,L_Nodes!A:A,L_Nodes!C:C,0)</f>
        <v>0</v>
      </c>
      <c r="E95" s="68">
        <f>_xlfn.XLOOKUP(B95,L_Nodes!A:A,L_Nodes!D:D,0)+_xlfn.XLOOKUP(B95,L_Floor!A:A,L_Floor!I:I,0)+_xlfn.XLOOKUP(B95,L_Roof!A:A,L_Roof!C:C,0)+_xlfn.XLOOKUP(B95,'L_Filling material'!A:A,'L_Filling material'!C:C,0)</f>
        <v>-22545.342000000001</v>
      </c>
      <c r="F95" s="65">
        <f>_xlfn.XLOOKUP(B95,L_Nodes!A:A,L_Nodes!E:E,0)</f>
        <v>25702</v>
      </c>
      <c r="G95" s="65">
        <f>_xlfn.XLOOKUP(B95,L_Nodes!A:A,L_Nodes!F:F,0)</f>
        <v>0</v>
      </c>
      <c r="H95" s="65">
        <f>_xlfn.XLOOKUP(B95,L_Nodes!A:A,L_Nodes!G:G,0)</f>
        <v>0</v>
      </c>
      <c r="I95" s="66" t="str" cm="1">
        <f t="array" ref="I95">IF(SUM(C95:H95)=0,"",TRIM(_xlfn.TEXTJOIN(CHAR(9),TRUE,A95:B95,TEXT(ROUND(C95:H95,1),"0.0"))))</f>
        <v>load	87	0.0	0.0	-22545.3	25702.0	0.0	0.0</v>
      </c>
      <c r="M95" s="29"/>
    </row>
    <row r="96" spans="1:13" x14ac:dyDescent="0.3">
      <c r="A96" s="66" t="s">
        <v>277</v>
      </c>
      <c r="B96" s="68">
        <v>88</v>
      </c>
      <c r="C96" s="65">
        <f>_xlfn.XLOOKUP(B96,L_Nodes!A:A,L_Nodes!B:B,0)</f>
        <v>0</v>
      </c>
      <c r="D96" s="65">
        <f>_xlfn.XLOOKUP(B96,L_Nodes!A:A,L_Nodes!C:C,0)</f>
        <v>0</v>
      </c>
      <c r="E96" s="68">
        <f>_xlfn.XLOOKUP(B96,L_Nodes!A:A,L_Nodes!D:D,0)+_xlfn.XLOOKUP(B96,L_Floor!A:A,L_Floor!I:I,0)+_xlfn.XLOOKUP(B96,L_Roof!A:A,L_Roof!C:C,0)+_xlfn.XLOOKUP(B96,'L_Filling material'!A:A,'L_Filling material'!C:C,0)</f>
        <v>-70463.90400000001</v>
      </c>
      <c r="F96" s="65">
        <f>_xlfn.XLOOKUP(B96,L_Nodes!A:A,L_Nodes!E:E,0)</f>
        <v>0</v>
      </c>
      <c r="G96" s="65">
        <f>_xlfn.XLOOKUP(B96,L_Nodes!A:A,L_Nodes!F:F,0)</f>
        <v>31841</v>
      </c>
      <c r="H96" s="65">
        <f>_xlfn.XLOOKUP(B96,L_Nodes!A:A,L_Nodes!G:G,0)</f>
        <v>0</v>
      </c>
      <c r="I96" s="66" t="str" cm="1">
        <f t="array" ref="I96">IF(SUM(C96:H96)=0,"",TRIM(_xlfn.TEXTJOIN(CHAR(9),TRUE,A96:B96,TEXT(ROUND(C96:H96,1),"0.0"))))</f>
        <v>load	88	0.0	0.0	-70463.9	0.0	31841.0	0.0</v>
      </c>
      <c r="M96" s="29"/>
    </row>
    <row r="97" spans="1:13" x14ac:dyDescent="0.3">
      <c r="A97" s="66" t="s">
        <v>277</v>
      </c>
      <c r="B97" s="68">
        <v>89</v>
      </c>
      <c r="C97" s="65">
        <f>_xlfn.XLOOKUP(B97,L_Nodes!A:A,L_Nodes!B:B,0)</f>
        <v>0</v>
      </c>
      <c r="D97" s="65">
        <f>_xlfn.XLOOKUP(B97,L_Nodes!A:A,L_Nodes!C:C,0)</f>
        <v>0</v>
      </c>
      <c r="E97" s="68">
        <f ca="1">_xlfn.XLOOKUP(B97,L_Nodes!A:A,L_Nodes!D:D,0)+_xlfn.XLOOKUP(B97,L_Floor!A:A,L_Floor!I:I,0)+_xlfn.XLOOKUP(B97,L_Roof!A:A,L_Roof!C:C,0)+_xlfn.XLOOKUP(B97,'L_Filling material'!A:A,'L_Filling material'!C:C,0)</f>
        <v>-92041.825294294467</v>
      </c>
      <c r="F97" s="65">
        <f>_xlfn.XLOOKUP(B97,L_Nodes!A:A,L_Nodes!E:E,0)</f>
        <v>0</v>
      </c>
      <c r="G97" s="65">
        <f>_xlfn.XLOOKUP(B97,L_Nodes!A:A,L_Nodes!F:F,0)</f>
        <v>39040</v>
      </c>
      <c r="H97" s="65">
        <f>_xlfn.XLOOKUP(B97,L_Nodes!A:A,L_Nodes!G:G,0)</f>
        <v>0</v>
      </c>
      <c r="I97" s="66" t="str" cm="1">
        <f t="array" aca="1" ref="I97" ca="1">IF(SUM(C97:H97)=0,"",TRIM(_xlfn.TEXTJOIN(CHAR(9),TRUE,A97:B97,TEXT(ROUND(C97:H97,1),"0.0"))))</f>
        <v>load	89	0.0	0.0	-92041.8	0.0	39040.0	0.0</v>
      </c>
      <c r="M97" s="29"/>
    </row>
    <row r="98" spans="1:13" x14ac:dyDescent="0.3">
      <c r="A98" s="66" t="s">
        <v>277</v>
      </c>
      <c r="B98" s="68">
        <v>90</v>
      </c>
      <c r="C98" s="65">
        <f>_xlfn.XLOOKUP(B98,L_Nodes!A:A,L_Nodes!B:B,0)</f>
        <v>0</v>
      </c>
      <c r="D98" s="65">
        <f>_xlfn.XLOOKUP(B98,L_Nodes!A:A,L_Nodes!C:C,0)</f>
        <v>0</v>
      </c>
      <c r="E98" s="68">
        <f>_xlfn.XLOOKUP(B98,L_Nodes!A:A,L_Nodes!D:D,0)+_xlfn.XLOOKUP(B98,L_Floor!A:A,L_Floor!I:I,0)+_xlfn.XLOOKUP(B98,L_Roof!A:A,L_Roof!C:C,0)+_xlfn.XLOOKUP(B98,'L_Filling material'!A:A,'L_Filling material'!C:C,0)</f>
        <v>0</v>
      </c>
      <c r="F98" s="65">
        <f>_xlfn.XLOOKUP(B98,L_Nodes!A:A,L_Nodes!E:E,0)</f>
        <v>0</v>
      </c>
      <c r="G98" s="65">
        <f>_xlfn.XLOOKUP(B98,L_Nodes!A:A,L_Nodes!F:F,0)</f>
        <v>0</v>
      </c>
      <c r="H98" s="65">
        <f>_xlfn.XLOOKUP(B98,L_Nodes!A:A,L_Nodes!G:G,0)</f>
        <v>0</v>
      </c>
      <c r="I98" s="66" t="str" cm="1">
        <f t="array" ref="I98">IF(SUM(C98:H98)=0,"",TRIM(_xlfn.TEXTJOIN(CHAR(9),TRUE,A98:B98,TEXT(ROUND(C98:H98,1),"0.0"))))</f>
        <v/>
      </c>
      <c r="M98" s="29"/>
    </row>
    <row r="99" spans="1:13" x14ac:dyDescent="0.3">
      <c r="A99" s="66" t="s">
        <v>277</v>
      </c>
      <c r="B99" s="68">
        <v>91</v>
      </c>
      <c r="C99" s="65">
        <f>_xlfn.XLOOKUP(B99,L_Nodes!A:A,L_Nodes!B:B,0)</f>
        <v>0</v>
      </c>
      <c r="D99" s="65">
        <f>_xlfn.XLOOKUP(B99,L_Nodes!A:A,L_Nodes!C:C,0)</f>
        <v>0</v>
      </c>
      <c r="E99" s="68">
        <f>_xlfn.XLOOKUP(B99,L_Nodes!A:A,L_Nodes!D:D,0)+_xlfn.XLOOKUP(B99,L_Floor!A:A,L_Floor!I:I,0)+_xlfn.XLOOKUP(B99,L_Roof!A:A,L_Roof!C:C,0)+_xlfn.XLOOKUP(B99,'L_Filling material'!A:A,'L_Filling material'!C:C,0)</f>
        <v>-79855.100999999995</v>
      </c>
      <c r="F99" s="65">
        <f>_xlfn.XLOOKUP(B99,L_Nodes!A:A,L_Nodes!E:E,0)</f>
        <v>44267</v>
      </c>
      <c r="G99" s="65">
        <f>_xlfn.XLOOKUP(B99,L_Nodes!A:A,L_Nodes!F:F,0)</f>
        <v>0</v>
      </c>
      <c r="H99" s="65">
        <f>_xlfn.XLOOKUP(B99,L_Nodes!A:A,L_Nodes!G:G,0)</f>
        <v>0</v>
      </c>
      <c r="I99" s="66" t="str" cm="1">
        <f t="array" ref="I99">IF(SUM(C99:H99)=0,"",TRIM(_xlfn.TEXTJOIN(CHAR(9),TRUE,A99:B99,TEXT(ROUND(C99:H99,1),"0.0"))))</f>
        <v>load	91	0.0	0.0	-79855.1	44267.0	0.0	0.0</v>
      </c>
      <c r="M99" s="29"/>
    </row>
    <row r="100" spans="1:13" x14ac:dyDescent="0.3">
      <c r="A100" s="66" t="s">
        <v>277</v>
      </c>
      <c r="B100" s="68">
        <v>92</v>
      </c>
      <c r="C100" s="65">
        <f>_xlfn.XLOOKUP(B100,L_Nodes!A:A,L_Nodes!B:B,0)</f>
        <v>0</v>
      </c>
      <c r="D100" s="65">
        <f>_xlfn.XLOOKUP(B100,L_Nodes!A:A,L_Nodes!C:C,0)</f>
        <v>0</v>
      </c>
      <c r="E100" s="68">
        <f>_xlfn.XLOOKUP(B100,L_Nodes!A:A,L_Nodes!D:D,0)+_xlfn.XLOOKUP(B100,L_Floor!A:A,L_Floor!I:I,0)+_xlfn.XLOOKUP(B100,L_Roof!A:A,L_Roof!C:C,0)+_xlfn.XLOOKUP(B100,'L_Filling material'!A:A,'L_Filling material'!C:C,0)</f>
        <v>-15511.947412500002</v>
      </c>
      <c r="F100" s="65">
        <f>_xlfn.XLOOKUP(B100,L_Nodes!A:A,L_Nodes!E:E,0)</f>
        <v>0</v>
      </c>
      <c r="G100" s="65">
        <f>_xlfn.XLOOKUP(B100,L_Nodes!A:A,L_Nodes!F:F,0)</f>
        <v>0</v>
      </c>
      <c r="H100" s="65">
        <f>_xlfn.XLOOKUP(B100,L_Nodes!A:A,L_Nodes!G:G,0)</f>
        <v>0</v>
      </c>
      <c r="I100" s="66" t="str" cm="1">
        <f t="array" ref="I100">IF(SUM(C100:H100)=0,"",TRIM(_xlfn.TEXTJOIN(CHAR(9),TRUE,A100:B100,TEXT(ROUND(C100:H100,1),"0.0"))))</f>
        <v>load	92	0.0	0.0	-15511.9	0.0	0.0	0.0</v>
      </c>
      <c r="M100" s="29"/>
    </row>
    <row r="101" spans="1:13" x14ac:dyDescent="0.3">
      <c r="A101" s="66" t="s">
        <v>277</v>
      </c>
      <c r="B101" s="68">
        <v>93</v>
      </c>
      <c r="C101" s="65">
        <f>_xlfn.XLOOKUP(B101,L_Nodes!A:A,L_Nodes!B:B,0)</f>
        <v>0</v>
      </c>
      <c r="D101" s="65">
        <f>_xlfn.XLOOKUP(B101,L_Nodes!A:A,L_Nodes!C:C,0)</f>
        <v>0</v>
      </c>
      <c r="E101" s="68">
        <f>_xlfn.XLOOKUP(B101,L_Nodes!A:A,L_Nodes!D:D,0)+_xlfn.XLOOKUP(B101,L_Floor!A:A,L_Floor!I:I,0)+_xlfn.XLOOKUP(B101,L_Roof!A:A,L_Roof!C:C,0)+_xlfn.XLOOKUP(B101,'L_Filling material'!A:A,'L_Filling material'!C:C,0)</f>
        <v>-63934.451999999997</v>
      </c>
      <c r="F101" s="65">
        <f>_xlfn.XLOOKUP(B101,L_Nodes!A:A,L_Nodes!E:E,0)</f>
        <v>-1584</v>
      </c>
      <c r="G101" s="65">
        <f>_xlfn.XLOOKUP(B101,L_Nodes!A:A,L_Nodes!F:F,0)</f>
        <v>0</v>
      </c>
      <c r="H101" s="65">
        <f>_xlfn.XLOOKUP(B101,L_Nodes!A:A,L_Nodes!G:G,0)</f>
        <v>0</v>
      </c>
      <c r="I101" s="66" t="str" cm="1">
        <f t="array" ref="I101">IF(SUM(C101:H101)=0,"",TRIM(_xlfn.TEXTJOIN(CHAR(9),TRUE,A101:B101,TEXT(ROUND(C101:H101,1),"0.0"))))</f>
        <v>load	93	0.0	0.0	-63934.5	-1584.0	0.0	0.0</v>
      </c>
      <c r="M101" s="29"/>
    </row>
    <row r="102" spans="1:13" x14ac:dyDescent="0.3">
      <c r="A102" s="66" t="s">
        <v>277</v>
      </c>
      <c r="B102" s="68">
        <v>94</v>
      </c>
      <c r="C102" s="65">
        <f>_xlfn.XLOOKUP(B102,L_Nodes!A:A,L_Nodes!B:B,0)</f>
        <v>0</v>
      </c>
      <c r="D102" s="65">
        <f>_xlfn.XLOOKUP(B102,L_Nodes!A:A,L_Nodes!C:C,0)</f>
        <v>0</v>
      </c>
      <c r="E102" s="68">
        <f ca="1">_xlfn.XLOOKUP(B102,L_Nodes!A:A,L_Nodes!D:D,0)+_xlfn.XLOOKUP(B102,L_Floor!A:A,L_Floor!I:I,0)+_xlfn.XLOOKUP(B102,L_Roof!A:A,L_Roof!C:C,0)+_xlfn.XLOOKUP(B102,'L_Filling material'!A:A,'L_Filling material'!C:C,0)</f>
        <v>-123949.71484075312</v>
      </c>
      <c r="F102" s="65">
        <f>_xlfn.XLOOKUP(B102,L_Nodes!A:A,L_Nodes!E:E,0)</f>
        <v>45710</v>
      </c>
      <c r="G102" s="65">
        <f>_xlfn.XLOOKUP(B102,L_Nodes!A:A,L_Nodes!F:F,0)</f>
        <v>0</v>
      </c>
      <c r="H102" s="65">
        <f>_xlfn.XLOOKUP(B102,L_Nodes!A:A,L_Nodes!G:G,0)</f>
        <v>0</v>
      </c>
      <c r="I102" s="66" t="str" cm="1">
        <f t="array" aca="1" ref="I102" ca="1">IF(SUM(C102:H102)=0,"",TRIM(_xlfn.TEXTJOIN(CHAR(9),TRUE,A102:B102,TEXT(ROUND(C102:H102,1),"0.0"))))</f>
        <v>load	94	0.0	0.0	-123949.7	45710.0	0.0	0.0</v>
      </c>
      <c r="M102" s="29"/>
    </row>
    <row r="103" spans="1:13" x14ac:dyDescent="0.3">
      <c r="A103" s="66" t="s">
        <v>277</v>
      </c>
      <c r="B103" s="68">
        <v>95</v>
      </c>
      <c r="C103" s="65">
        <f>_xlfn.XLOOKUP(B103,L_Nodes!A:A,L_Nodes!B:B,0)</f>
        <v>0</v>
      </c>
      <c r="D103" s="65">
        <f>_xlfn.XLOOKUP(B103,L_Nodes!A:A,L_Nodes!C:C,0)</f>
        <v>0</v>
      </c>
      <c r="E103" s="68">
        <f>_xlfn.XLOOKUP(B103,L_Nodes!A:A,L_Nodes!D:D,0)+_xlfn.XLOOKUP(B103,L_Floor!A:A,L_Floor!I:I,0)+_xlfn.XLOOKUP(B103,L_Roof!A:A,L_Roof!C:C,0)+_xlfn.XLOOKUP(B103,'L_Filling material'!A:A,'L_Filling material'!C:C,0)</f>
        <v>-25711.120597972502</v>
      </c>
      <c r="F103" s="65">
        <f>_xlfn.XLOOKUP(B103,L_Nodes!A:A,L_Nodes!E:E,0)</f>
        <v>0</v>
      </c>
      <c r="G103" s="65">
        <f>_xlfn.XLOOKUP(B103,L_Nodes!A:A,L_Nodes!F:F,0)</f>
        <v>0</v>
      </c>
      <c r="H103" s="65">
        <f>_xlfn.XLOOKUP(B103,L_Nodes!A:A,L_Nodes!G:G,0)</f>
        <v>0</v>
      </c>
      <c r="I103" s="66" t="str" cm="1">
        <f t="array" ref="I103">IF(SUM(C103:H103)=0,"",TRIM(_xlfn.TEXTJOIN(CHAR(9),TRUE,A103:B103,TEXT(ROUND(C103:H103,1),"0.0"))))</f>
        <v>load	95	0.0	0.0	-25711.1	0.0	0.0	0.0</v>
      </c>
      <c r="M103" s="29"/>
    </row>
    <row r="104" spans="1:13" x14ac:dyDescent="0.3">
      <c r="A104" s="66" t="s">
        <v>277</v>
      </c>
      <c r="B104" s="68">
        <v>96</v>
      </c>
      <c r="C104" s="65">
        <f>_xlfn.XLOOKUP(B104,L_Nodes!A:A,L_Nodes!B:B,0)</f>
        <v>0</v>
      </c>
      <c r="D104" s="65">
        <f>_xlfn.XLOOKUP(B104,L_Nodes!A:A,L_Nodes!C:C,0)</f>
        <v>0</v>
      </c>
      <c r="E104" s="68">
        <f ca="1">_xlfn.XLOOKUP(B104,L_Nodes!A:A,L_Nodes!D:D,0)+_xlfn.XLOOKUP(B104,L_Floor!A:A,L_Floor!I:I,0)+_xlfn.XLOOKUP(B104,L_Roof!A:A,L_Roof!C:C,0)+_xlfn.XLOOKUP(B104,'L_Filling material'!A:A,'L_Filling material'!C:C,0)</f>
        <v>-94156.230569155057</v>
      </c>
      <c r="F104" s="65">
        <f>_xlfn.XLOOKUP(B104,L_Nodes!A:A,L_Nodes!E:E,0)</f>
        <v>-1636</v>
      </c>
      <c r="G104" s="65">
        <f>_xlfn.XLOOKUP(B104,L_Nodes!A:A,L_Nodes!F:F,0)</f>
        <v>0</v>
      </c>
      <c r="H104" s="65">
        <f>_xlfn.XLOOKUP(B104,L_Nodes!A:A,L_Nodes!G:G,0)</f>
        <v>0</v>
      </c>
      <c r="I104" s="66" t="str" cm="1">
        <f t="array" aca="1" ref="I104" ca="1">IF(SUM(C104:H104)=0,"",TRIM(_xlfn.TEXTJOIN(CHAR(9),TRUE,A104:B104,TEXT(ROUND(C104:H104,1),"0.0"))))</f>
        <v>load	96	0.0	0.0	-94156.2	-1636.0	0.0	0.0</v>
      </c>
      <c r="M104" s="29"/>
    </row>
    <row r="105" spans="1:13" x14ac:dyDescent="0.3">
      <c r="A105" s="66" t="s">
        <v>277</v>
      </c>
      <c r="B105" s="68">
        <v>97</v>
      </c>
      <c r="C105" s="65">
        <f>_xlfn.XLOOKUP(B105,L_Nodes!A:A,L_Nodes!B:B,0)</f>
        <v>0</v>
      </c>
      <c r="D105" s="65">
        <f>_xlfn.XLOOKUP(B105,L_Nodes!A:A,L_Nodes!C:C,0)</f>
        <v>0</v>
      </c>
      <c r="E105" s="68">
        <f>_xlfn.XLOOKUP(B105,L_Nodes!A:A,L_Nodes!D:D,0)+_xlfn.XLOOKUP(B105,L_Floor!A:A,L_Floor!I:I,0)+_xlfn.XLOOKUP(B105,L_Roof!A:A,L_Roof!C:C,0)+_xlfn.XLOOKUP(B105,'L_Filling material'!A:A,'L_Filling material'!C:C,0)</f>
        <v>0</v>
      </c>
      <c r="F105" s="65">
        <f>_xlfn.XLOOKUP(B105,L_Nodes!A:A,L_Nodes!E:E,0)</f>
        <v>0</v>
      </c>
      <c r="G105" s="65">
        <f>_xlfn.XLOOKUP(B105,L_Nodes!A:A,L_Nodes!F:F,0)</f>
        <v>0</v>
      </c>
      <c r="H105" s="65">
        <f>_xlfn.XLOOKUP(B105,L_Nodes!A:A,L_Nodes!G:G,0)</f>
        <v>0</v>
      </c>
      <c r="I105" s="66" t="str" cm="1">
        <f t="array" ref="I105">IF(SUM(C105:H105)=0,"",TRIM(_xlfn.TEXTJOIN(CHAR(9),TRUE,A105:B105,TEXT(ROUND(C105:H105,1),"0.0"))))</f>
        <v/>
      </c>
      <c r="M105" s="29"/>
    </row>
    <row r="106" spans="1:13" x14ac:dyDescent="0.3">
      <c r="A106" s="66" t="s">
        <v>277</v>
      </c>
      <c r="B106" s="68">
        <v>98</v>
      </c>
      <c r="C106" s="65">
        <f>_xlfn.XLOOKUP(B106,L_Nodes!A:A,L_Nodes!B:B,0)</f>
        <v>0</v>
      </c>
      <c r="D106" s="65">
        <f>_xlfn.XLOOKUP(B106,L_Nodes!A:A,L_Nodes!C:C,0)</f>
        <v>0</v>
      </c>
      <c r="E106" s="68">
        <f>_xlfn.XLOOKUP(B106,L_Nodes!A:A,L_Nodes!D:D,0)+_xlfn.XLOOKUP(B106,L_Floor!A:A,L_Floor!I:I,0)+_xlfn.XLOOKUP(B106,L_Roof!A:A,L_Roof!C:C,0)+_xlfn.XLOOKUP(B106,'L_Filling material'!A:A,'L_Filling material'!C:C,0)</f>
        <v>0</v>
      </c>
      <c r="F106" s="65">
        <f>_xlfn.XLOOKUP(B106,L_Nodes!A:A,L_Nodes!E:E,0)</f>
        <v>0</v>
      </c>
      <c r="G106" s="65">
        <f>_xlfn.XLOOKUP(B106,L_Nodes!A:A,L_Nodes!F:F,0)</f>
        <v>0</v>
      </c>
      <c r="H106" s="65">
        <f>_xlfn.XLOOKUP(B106,L_Nodes!A:A,L_Nodes!G:G,0)</f>
        <v>0</v>
      </c>
      <c r="I106" s="66" t="str" cm="1">
        <f t="array" ref="I106">IF(SUM(C106:H106)=0,"",TRIM(_xlfn.TEXTJOIN(CHAR(9),TRUE,A106:B106,TEXT(ROUND(C106:H106,1),"0.0"))))</f>
        <v/>
      </c>
      <c r="M106" s="29"/>
    </row>
    <row r="107" spans="1:13" x14ac:dyDescent="0.3">
      <c r="A107" s="66" t="s">
        <v>277</v>
      </c>
      <c r="B107" s="68">
        <v>99</v>
      </c>
      <c r="C107" s="65">
        <f>_xlfn.XLOOKUP(B107,L_Nodes!A:A,L_Nodes!B:B,0)</f>
        <v>0</v>
      </c>
      <c r="D107" s="65">
        <f>_xlfn.XLOOKUP(B107,L_Nodes!A:A,L_Nodes!C:C,0)</f>
        <v>0</v>
      </c>
      <c r="E107" s="68">
        <f>_xlfn.XLOOKUP(B107,L_Nodes!A:A,L_Nodes!D:D,0)+_xlfn.XLOOKUP(B107,L_Floor!A:A,L_Floor!I:I,0)+_xlfn.XLOOKUP(B107,L_Roof!A:A,L_Roof!C:C,0)+_xlfn.XLOOKUP(B107,'L_Filling material'!A:A,'L_Filling material'!C:C,0)</f>
        <v>0</v>
      </c>
      <c r="F107" s="65">
        <f>_xlfn.XLOOKUP(B107,L_Nodes!A:A,L_Nodes!E:E,0)</f>
        <v>0</v>
      </c>
      <c r="G107" s="65">
        <f>_xlfn.XLOOKUP(B107,L_Nodes!A:A,L_Nodes!F:F,0)</f>
        <v>0</v>
      </c>
      <c r="H107" s="65">
        <f>_xlfn.XLOOKUP(B107,L_Nodes!A:A,L_Nodes!G:G,0)</f>
        <v>0</v>
      </c>
      <c r="I107" s="66" t="str" cm="1">
        <f t="array" ref="I107">IF(SUM(C107:H107)=0,"",TRIM(_xlfn.TEXTJOIN(CHAR(9),TRUE,A107:B107,TEXT(ROUND(C107:H107,1),"0.0"))))</f>
        <v/>
      </c>
      <c r="M107" s="29"/>
    </row>
    <row r="108" spans="1:13" x14ac:dyDescent="0.3">
      <c r="A108" s="66" t="s">
        <v>277</v>
      </c>
      <c r="B108" s="68">
        <v>100</v>
      </c>
      <c r="C108" s="65">
        <f>_xlfn.XLOOKUP(B108,L_Nodes!A:A,L_Nodes!B:B,0)</f>
        <v>0</v>
      </c>
      <c r="D108" s="65">
        <f>_xlfn.XLOOKUP(B108,L_Nodes!A:A,L_Nodes!C:C,0)</f>
        <v>0</v>
      </c>
      <c r="E108" s="68">
        <f>_xlfn.XLOOKUP(B108,L_Nodes!A:A,L_Nodes!D:D,0)+_xlfn.XLOOKUP(B108,L_Floor!A:A,L_Floor!I:I,0)+_xlfn.XLOOKUP(B108,L_Roof!A:A,L_Roof!C:C,0)+_xlfn.XLOOKUP(B108,'L_Filling material'!A:A,'L_Filling material'!C:C,0)</f>
        <v>-29546.076000000001</v>
      </c>
      <c r="F108" s="65">
        <f>_xlfn.XLOOKUP(B108,L_Nodes!A:A,L_Nodes!E:E,0)</f>
        <v>0</v>
      </c>
      <c r="G108" s="65">
        <f>_xlfn.XLOOKUP(B108,L_Nodes!A:A,L_Nodes!F:F,0)</f>
        <v>1990</v>
      </c>
      <c r="H108" s="65">
        <f>_xlfn.XLOOKUP(B108,L_Nodes!A:A,L_Nodes!G:G,0)</f>
        <v>0</v>
      </c>
      <c r="I108" s="66" t="str" cm="1">
        <f t="array" ref="I108">IF(SUM(C108:H108)=0,"",TRIM(_xlfn.TEXTJOIN(CHAR(9),TRUE,A108:B108,TEXT(ROUND(C108:H108,1),"0.0"))))</f>
        <v>load	100	0.0	0.0	-29546.1	0.0	1990.0	0.0</v>
      </c>
      <c r="M108" s="29"/>
    </row>
    <row r="109" spans="1:13" x14ac:dyDescent="0.3">
      <c r="A109" s="66" t="s">
        <v>277</v>
      </c>
      <c r="B109" s="68">
        <v>101</v>
      </c>
      <c r="C109" s="65">
        <f>_xlfn.XLOOKUP(B109,L_Nodes!A:A,L_Nodes!B:B,0)</f>
        <v>0</v>
      </c>
      <c r="D109" s="65">
        <f>_xlfn.XLOOKUP(B109,L_Nodes!A:A,L_Nodes!C:C,0)</f>
        <v>0</v>
      </c>
      <c r="E109" s="68">
        <f ca="1">_xlfn.XLOOKUP(B109,L_Nodes!A:A,L_Nodes!D:D,0)+_xlfn.XLOOKUP(B109,L_Floor!A:A,L_Floor!I:I,0)+_xlfn.XLOOKUP(B109,L_Roof!A:A,L_Roof!C:C,0)+_xlfn.XLOOKUP(B109,'L_Filling material'!A:A,'L_Filling material'!C:C,0)</f>
        <v>-21323.457329200439</v>
      </c>
      <c r="F109" s="65">
        <f>_xlfn.XLOOKUP(B109,L_Nodes!A:A,L_Nodes!E:E,0)</f>
        <v>0</v>
      </c>
      <c r="G109" s="65">
        <f>_xlfn.XLOOKUP(B109,L_Nodes!A:A,L_Nodes!F:F,0)</f>
        <v>1644</v>
      </c>
      <c r="H109" s="65">
        <f>_xlfn.XLOOKUP(B109,L_Nodes!A:A,L_Nodes!G:G,0)</f>
        <v>0</v>
      </c>
      <c r="I109" s="66" t="str" cm="1">
        <f t="array" aca="1" ref="I109" ca="1">IF(SUM(C109:H109)=0,"",TRIM(_xlfn.TEXTJOIN(CHAR(9),TRUE,A109:B109,TEXT(ROUND(C109:H109,1),"0.0"))))</f>
        <v>load	101	0.0	0.0	-21323.5	0.0	1644.0	0.0</v>
      </c>
      <c r="M109" s="29"/>
    </row>
    <row r="111" spans="1:13" x14ac:dyDescent="0.3">
      <c r="A111" s="29"/>
      <c r="E111" s="25"/>
    </row>
    <row r="112" spans="1:13" x14ac:dyDescent="0.3">
      <c r="A112" s="29"/>
      <c r="E112" s="25"/>
    </row>
    <row r="113" spans="1:5" x14ac:dyDescent="0.3">
      <c r="A113" s="29"/>
      <c r="E113" s="25"/>
    </row>
    <row r="114" spans="1:5" x14ac:dyDescent="0.3">
      <c r="A114" s="29"/>
      <c r="E114" s="25"/>
    </row>
    <row r="115" spans="1:5" x14ac:dyDescent="0.3">
      <c r="A115" s="29"/>
      <c r="E115" s="25"/>
    </row>
    <row r="116" spans="1:5" x14ac:dyDescent="0.3">
      <c r="A116" s="29"/>
      <c r="E116" s="25"/>
    </row>
    <row r="117" spans="1:5" x14ac:dyDescent="0.3">
      <c r="A117" s="29"/>
      <c r="E117" s="25"/>
    </row>
    <row r="118" spans="1:5" x14ac:dyDescent="0.3">
      <c r="A118" s="29"/>
      <c r="E118" s="25"/>
    </row>
    <row r="119" spans="1:5" x14ac:dyDescent="0.3">
      <c r="A119" s="29"/>
      <c r="E119" s="25"/>
    </row>
    <row r="120" spans="1:5" x14ac:dyDescent="0.3">
      <c r="A120" s="29"/>
      <c r="E120" s="25"/>
    </row>
    <row r="121" spans="1:5" x14ac:dyDescent="0.3">
      <c r="A121" s="29"/>
      <c r="E121" s="25"/>
    </row>
    <row r="122" spans="1:5" x14ac:dyDescent="0.3">
      <c r="A122" s="29"/>
      <c r="E122" s="25"/>
    </row>
    <row r="123" spans="1:5" x14ac:dyDescent="0.3">
      <c r="A123" s="29"/>
      <c r="E123" s="25"/>
    </row>
    <row r="124" spans="1:5" x14ac:dyDescent="0.3">
      <c r="A124" s="29"/>
      <c r="E124" s="25"/>
    </row>
    <row r="125" spans="1:5" x14ac:dyDescent="0.3">
      <c r="A125" s="29"/>
      <c r="E125" s="25"/>
    </row>
    <row r="126" spans="1:5" x14ac:dyDescent="0.3">
      <c r="A126" s="29"/>
      <c r="E126" s="25"/>
    </row>
    <row r="127" spans="1:5" x14ac:dyDescent="0.3">
      <c r="A127" s="29"/>
      <c r="E127" s="25"/>
    </row>
    <row r="128" spans="1:5" x14ac:dyDescent="0.3">
      <c r="A128" s="29"/>
      <c r="E128" s="25"/>
    </row>
    <row r="129" spans="1:5" x14ac:dyDescent="0.3">
      <c r="A129" s="29"/>
      <c r="E129" s="25"/>
    </row>
    <row r="130" spans="1:5" x14ac:dyDescent="0.3">
      <c r="A130" s="29"/>
      <c r="E130" s="25"/>
    </row>
    <row r="131" spans="1:5" x14ac:dyDescent="0.3">
      <c r="A131" s="29"/>
      <c r="E131" s="25"/>
    </row>
    <row r="132" spans="1:5" x14ac:dyDescent="0.3">
      <c r="A132" s="29"/>
      <c r="E132" s="25"/>
    </row>
    <row r="133" spans="1:5" x14ac:dyDescent="0.3">
      <c r="A133" s="29"/>
      <c r="E133" s="25"/>
    </row>
    <row r="134" spans="1:5" x14ac:dyDescent="0.3">
      <c r="A134" s="29"/>
      <c r="E134" s="25"/>
    </row>
    <row r="135" spans="1:5" x14ac:dyDescent="0.3">
      <c r="A135" s="29"/>
      <c r="E135" s="25"/>
    </row>
    <row r="136" spans="1:5" x14ac:dyDescent="0.3">
      <c r="E136" s="25"/>
    </row>
    <row r="137" spans="1:5" x14ac:dyDescent="0.3">
      <c r="E137" s="25"/>
    </row>
    <row r="138" spans="1:5" x14ac:dyDescent="0.3">
      <c r="A138" s="29"/>
      <c r="E138" s="25"/>
    </row>
    <row r="139" spans="1:5" x14ac:dyDescent="0.3">
      <c r="A139" s="29"/>
      <c r="E139" s="25"/>
    </row>
    <row r="140" spans="1:5" x14ac:dyDescent="0.3">
      <c r="A140" s="29"/>
      <c r="E140" s="25"/>
    </row>
    <row r="141" spans="1:5" x14ac:dyDescent="0.3">
      <c r="A141" s="29"/>
      <c r="E141" s="25"/>
    </row>
    <row r="142" spans="1:5" x14ac:dyDescent="0.3">
      <c r="A142" s="29"/>
      <c r="E142" s="25"/>
    </row>
    <row r="143" spans="1:5" x14ac:dyDescent="0.3">
      <c r="A143" s="29"/>
      <c r="E143" s="25"/>
    </row>
    <row r="144" spans="1:5" x14ac:dyDescent="0.3">
      <c r="A144" s="29"/>
      <c r="E144" s="25"/>
    </row>
    <row r="145" spans="1:5" x14ac:dyDescent="0.3">
      <c r="A145" s="29"/>
      <c r="E145" s="25"/>
    </row>
    <row r="146" spans="1:5" x14ac:dyDescent="0.3">
      <c r="A146" s="29"/>
      <c r="E146" s="25"/>
    </row>
    <row r="147" spans="1:5" x14ac:dyDescent="0.3">
      <c r="A147" s="29"/>
      <c r="E147" s="25"/>
    </row>
    <row r="148" spans="1:5" x14ac:dyDescent="0.3">
      <c r="A148" s="29"/>
      <c r="E148" s="25"/>
    </row>
    <row r="149" spans="1:5" x14ac:dyDescent="0.3">
      <c r="A149" s="29"/>
      <c r="E149" s="25"/>
    </row>
    <row r="150" spans="1:5" x14ac:dyDescent="0.3">
      <c r="A150" s="29"/>
      <c r="E150" s="25"/>
    </row>
    <row r="151" spans="1:5" x14ac:dyDescent="0.3">
      <c r="A151" s="29"/>
      <c r="E151" s="25"/>
    </row>
    <row r="152" spans="1:5" x14ac:dyDescent="0.3">
      <c r="A152" s="29"/>
      <c r="E152" s="25"/>
    </row>
    <row r="153" spans="1:5" x14ac:dyDescent="0.3">
      <c r="A153" s="29"/>
      <c r="E153" s="25"/>
    </row>
    <row r="154" spans="1:5" x14ac:dyDescent="0.3">
      <c r="A154" s="29"/>
      <c r="E154" s="25"/>
    </row>
    <row r="155" spans="1:5" x14ac:dyDescent="0.3">
      <c r="A155" s="29"/>
      <c r="E155" s="25"/>
    </row>
    <row r="156" spans="1:5" x14ac:dyDescent="0.3">
      <c r="A156" s="29"/>
      <c r="E156" s="25"/>
    </row>
    <row r="157" spans="1:5" x14ac:dyDescent="0.3">
      <c r="A157" s="29"/>
      <c r="B157" s="29"/>
      <c r="E157" s="25"/>
    </row>
    <row r="158" spans="1:5" x14ac:dyDescent="0.3">
      <c r="A158" s="29"/>
      <c r="B158" s="29"/>
      <c r="E158" s="25"/>
    </row>
    <row r="159" spans="1:5" x14ac:dyDescent="0.3">
      <c r="A159" s="29"/>
      <c r="B159" s="29"/>
      <c r="E159" s="25"/>
    </row>
    <row r="160" spans="1:5" x14ac:dyDescent="0.3">
      <c r="A160" s="29"/>
      <c r="B160" s="29"/>
      <c r="E160" s="25"/>
    </row>
    <row r="161" spans="1:13" x14ac:dyDescent="0.3">
      <c r="A161" s="29"/>
      <c r="B161" s="29"/>
      <c r="E161" s="25"/>
    </row>
    <row r="162" spans="1:13" x14ac:dyDescent="0.3">
      <c r="A162" s="29"/>
      <c r="B162" s="29"/>
      <c r="E162" s="25"/>
    </row>
    <row r="163" spans="1:13" x14ac:dyDescent="0.3">
      <c r="A163" s="29"/>
      <c r="B163" s="29"/>
      <c r="E163" s="25"/>
    </row>
    <row r="164" spans="1:13" x14ac:dyDescent="0.3">
      <c r="A164" s="29"/>
      <c r="B164" s="29"/>
      <c r="E164" s="25"/>
    </row>
    <row r="165" spans="1:13" x14ac:dyDescent="0.3">
      <c r="A165" s="29"/>
      <c r="B165" s="29"/>
      <c r="E165" s="25"/>
    </row>
    <row r="166" spans="1:13" x14ac:dyDescent="0.3">
      <c r="A166" s="29"/>
      <c r="B166" s="29"/>
      <c r="E166" s="25"/>
    </row>
    <row r="167" spans="1:13" x14ac:dyDescent="0.3">
      <c r="A167" s="29"/>
      <c r="B167" s="29"/>
      <c r="E167" s="25"/>
    </row>
    <row r="168" spans="1:13" x14ac:dyDescent="0.3">
      <c r="A168" s="29"/>
      <c r="B168" s="29"/>
      <c r="E168" s="25"/>
    </row>
    <row r="169" spans="1:13" x14ac:dyDescent="0.3">
      <c r="A169" s="29"/>
      <c r="B169" s="29"/>
      <c r="E169" s="25"/>
    </row>
    <row r="170" spans="1:13" x14ac:dyDescent="0.3">
      <c r="A170" s="29"/>
      <c r="B170" s="29"/>
      <c r="E170" s="25"/>
    </row>
    <row r="171" spans="1:13" x14ac:dyDescent="0.3">
      <c r="B171" s="29"/>
      <c r="C171" t="str">
        <f t="shared" ref="C171" si="0">IF(B171="","",0)</f>
        <v/>
      </c>
      <c r="D171" t="str">
        <f t="shared" ref="D171" si="1">IF(B171="","",0)</f>
        <v/>
      </c>
      <c r="E171" s="25"/>
      <c r="F171" t="str">
        <f t="shared" ref="F171" si="2">IF(B171="","",0)</f>
        <v/>
      </c>
      <c r="G171" t="str">
        <f t="shared" ref="G171" si="3">IF(B171="","",0)</f>
        <v/>
      </c>
      <c r="H171" t="str">
        <f t="shared" ref="H171" si="4">IF(B171="","",0)</f>
        <v/>
      </c>
      <c r="I171" t="str">
        <f>TRIM(_xlfn.TEXTJOIN(CHAR(9),TRUE,A171:H171))</f>
        <v/>
      </c>
    </row>
    <row r="172" spans="1:13" x14ac:dyDescent="0.3">
      <c r="B172" s="29"/>
      <c r="E172" s="25"/>
    </row>
    <row r="173" spans="1:13" x14ac:dyDescent="0.3">
      <c r="A173" s="29"/>
      <c r="B173" s="29"/>
      <c r="E173" s="25"/>
      <c r="M173" s="29"/>
    </row>
    <row r="174" spans="1:13" x14ac:dyDescent="0.3">
      <c r="A174" s="29"/>
      <c r="B174" s="29"/>
      <c r="E174" s="25"/>
      <c r="M174" s="29"/>
    </row>
    <row r="175" spans="1:13" x14ac:dyDescent="0.3">
      <c r="A175" s="29"/>
      <c r="B175" s="29"/>
      <c r="E175" s="25"/>
      <c r="M175" s="29"/>
    </row>
    <row r="176" spans="1:13" x14ac:dyDescent="0.3">
      <c r="A176" s="29"/>
      <c r="B176" s="29"/>
      <c r="E176" s="25"/>
      <c r="M176" s="29"/>
    </row>
    <row r="177" spans="1:13" x14ac:dyDescent="0.3">
      <c r="A177" s="29"/>
      <c r="B177" s="29"/>
      <c r="E177" s="25"/>
      <c r="M177" s="29"/>
    </row>
    <row r="178" spans="1:13" x14ac:dyDescent="0.3">
      <c r="A178" s="29"/>
      <c r="B178" s="29"/>
      <c r="E178" s="25"/>
      <c r="M178" s="29"/>
    </row>
    <row r="179" spans="1:13" x14ac:dyDescent="0.3">
      <c r="A179" s="29"/>
      <c r="B179" s="29"/>
      <c r="E179" s="25"/>
      <c r="M179" s="29"/>
    </row>
    <row r="180" spans="1:13" x14ac:dyDescent="0.3">
      <c r="A180" s="29"/>
      <c r="B180" s="29"/>
      <c r="E180" s="25"/>
      <c r="M180" s="29"/>
    </row>
    <row r="181" spans="1:13" x14ac:dyDescent="0.3">
      <c r="A181" s="29"/>
      <c r="B181" s="29"/>
      <c r="E181" s="25"/>
      <c r="M181" s="29"/>
    </row>
    <row r="182" spans="1:13" x14ac:dyDescent="0.3">
      <c r="B182" s="29"/>
      <c r="E182" s="25"/>
      <c r="M182" s="29"/>
    </row>
    <row r="183" spans="1:13" x14ac:dyDescent="0.3">
      <c r="B183" s="29"/>
      <c r="E183" s="25"/>
    </row>
    <row r="184" spans="1:13" x14ac:dyDescent="0.3">
      <c r="A184" s="29"/>
      <c r="E184" s="25"/>
    </row>
    <row r="185" spans="1:13" x14ac:dyDescent="0.3">
      <c r="A185" s="29"/>
      <c r="E185" s="25"/>
    </row>
    <row r="186" spans="1:13" x14ac:dyDescent="0.3">
      <c r="A186" s="29"/>
      <c r="E186" s="25"/>
    </row>
    <row r="187" spans="1:13" x14ac:dyDescent="0.3">
      <c r="A187" s="29"/>
      <c r="E187" s="25"/>
    </row>
    <row r="188" spans="1:13" x14ac:dyDescent="0.3">
      <c r="A188" s="29"/>
      <c r="E188" s="25"/>
    </row>
    <row r="189" spans="1:13" x14ac:dyDescent="0.3">
      <c r="A189" s="29"/>
      <c r="E189" s="25"/>
    </row>
    <row r="190" spans="1:13" x14ac:dyDescent="0.3">
      <c r="A190" s="29"/>
      <c r="E190" s="25"/>
    </row>
    <row r="191" spans="1:13" x14ac:dyDescent="0.3">
      <c r="A191" s="29"/>
      <c r="D191" s="25"/>
    </row>
    <row r="192" spans="1:13" x14ac:dyDescent="0.3">
      <c r="A192" s="29"/>
      <c r="D192" s="25"/>
      <c r="E192" s="5"/>
    </row>
    <row r="194" spans="4:4" x14ac:dyDescent="0.3">
      <c r="D194" s="5"/>
    </row>
  </sheetData>
  <mergeCells count="1">
    <mergeCell ref="C3:D3"/>
  </mergeCells>
  <pageMargins left="0.7" right="0.7" top="0.78740157499999996" bottom="0.78740157499999996" header="0.3" footer="0.3"/>
  <pageSetup paperSize="9" scale="115" orientation="landscape" r:id="rId1"/>
  <headerFooter>
    <oddHeader>&amp;LMaster Thesis 2023/2024&amp;CSt. Lawrence Parish House,
Petrinja, Croatia&amp;R&amp;G</oddHeader>
    <oddFooter>&amp;L&amp;A&amp;CModel: Initial state&amp;R&amp;P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D1DF-53B1-4DE3-8D2F-356D1AD52996}">
  <sheetPr>
    <tabColor theme="1"/>
  </sheetPr>
  <dimension ref="A1:M237"/>
  <sheetViews>
    <sheetView tabSelected="1" view="pageLayout" zoomScaleNormal="100" workbookViewId="0">
      <selection activeCell="H18" sqref="H18"/>
    </sheetView>
  </sheetViews>
  <sheetFormatPr baseColWidth="10" defaultColWidth="10.6640625" defaultRowHeight="14" x14ac:dyDescent="0.3"/>
  <cols>
    <col min="1" max="1" width="9.25" customWidth="1"/>
    <col min="2" max="2" width="11.5" bestFit="1" customWidth="1"/>
    <col min="3" max="3" width="9.08203125" bestFit="1" customWidth="1"/>
    <col min="4" max="4" width="13.08203125" bestFit="1" customWidth="1"/>
    <col min="5" max="5" width="12.08203125" bestFit="1" customWidth="1"/>
    <col min="6" max="6" width="14.75" bestFit="1" customWidth="1"/>
    <col min="7" max="7" width="12.9140625" customWidth="1"/>
  </cols>
  <sheetData>
    <row r="1" spans="1:12" ht="17" thickBot="1" x14ac:dyDescent="0.4">
      <c r="A1" s="91" t="s">
        <v>395</v>
      </c>
      <c r="B1" s="92"/>
      <c r="C1" s="93"/>
      <c r="D1" s="93"/>
      <c r="E1" s="92"/>
      <c r="F1" s="92"/>
      <c r="G1" s="92"/>
      <c r="H1" s="92"/>
    </row>
    <row r="2" spans="1:12" x14ac:dyDescent="0.3">
      <c r="A2" s="61" t="s">
        <v>378</v>
      </c>
      <c r="C2" t="s">
        <v>379</v>
      </c>
      <c r="D2" s="25"/>
    </row>
    <row r="3" spans="1:12" x14ac:dyDescent="0.3">
      <c r="A3" s="61" t="s">
        <v>375</v>
      </c>
      <c r="C3" s="140">
        <f ca="1">TODAY()</f>
        <v>45304</v>
      </c>
      <c r="D3" s="140"/>
    </row>
    <row r="4" spans="1:12" x14ac:dyDescent="0.3">
      <c r="A4" s="61" t="s">
        <v>398</v>
      </c>
      <c r="C4" t="s">
        <v>399</v>
      </c>
      <c r="D4" s="25"/>
    </row>
    <row r="5" spans="1:12" x14ac:dyDescent="0.3">
      <c r="A5" s="61" t="s">
        <v>377</v>
      </c>
      <c r="C5" s="142" t="s">
        <v>400</v>
      </c>
      <c r="D5" s="142"/>
      <c r="E5" s="142"/>
      <c r="F5" s="142"/>
    </row>
    <row r="6" spans="1:12" x14ac:dyDescent="0.3">
      <c r="A6" s="6"/>
      <c r="B6" s="6"/>
      <c r="C6" s="142"/>
      <c r="D6" s="142"/>
      <c r="E6" s="142"/>
      <c r="F6" s="142"/>
    </row>
    <row r="7" spans="1:12" x14ac:dyDescent="0.3">
      <c r="A7" s="6"/>
      <c r="B7" s="6"/>
      <c r="C7" s="6"/>
      <c r="D7" s="6"/>
      <c r="E7" s="6"/>
    </row>
    <row r="8" spans="1:12" x14ac:dyDescent="0.3">
      <c r="A8" s="74" t="s">
        <v>289</v>
      </c>
      <c r="B8" s="74"/>
      <c r="C8" s="74"/>
      <c r="D8" s="74"/>
      <c r="E8" s="74"/>
      <c r="F8" s="75"/>
      <c r="G8" s="75"/>
      <c r="H8" s="75"/>
      <c r="L8" s="25"/>
    </row>
    <row r="9" spans="1:12" x14ac:dyDescent="0.3">
      <c r="A9" s="73" t="s">
        <v>14</v>
      </c>
      <c r="B9" s="61" t="s">
        <v>290</v>
      </c>
      <c r="C9" s="61" t="s">
        <v>285</v>
      </c>
      <c r="D9" s="61" t="s">
        <v>19</v>
      </c>
      <c r="E9" s="61" t="s">
        <v>205</v>
      </c>
      <c r="F9" s="61" t="s">
        <v>291</v>
      </c>
    </row>
    <row r="10" spans="1:12" s="19" customFormat="1" x14ac:dyDescent="0.3">
      <c r="A10" s="68">
        <v>1</v>
      </c>
      <c r="B10" s="68">
        <f t="shared" ref="B10:B25" si="0">A10+1000</f>
        <v>1001</v>
      </c>
      <c r="C10" s="68">
        <v>1</v>
      </c>
      <c r="D10" s="87">
        <f ca="1">_xlfn.XLOOKUP(A10,'TCL_Nodal masses'!A:A,'TCL_Nodal masses'!C:C,0)</f>
        <v>4483.8055045871561</v>
      </c>
      <c r="E10" s="65">
        <f>_xlfn.XLOOKUP(B10,'TCL_Nodal masses'!A:A,'TCL_Nodal masses'!C:C,0)</f>
        <v>0</v>
      </c>
      <c r="F10" s="87">
        <f>_xlfn.XLOOKUP(C10,TCL_Macroelements!C:C,TCL_Macroelements!AT:AT)*1800</f>
        <v>772.2</v>
      </c>
      <c r="H10"/>
      <c r="I10"/>
      <c r="J10"/>
      <c r="K10" s="25"/>
      <c r="L10"/>
    </row>
    <row r="11" spans="1:12" x14ac:dyDescent="0.3">
      <c r="A11" s="68">
        <v>2</v>
      </c>
      <c r="B11" s="68">
        <f t="shared" si="0"/>
        <v>1002</v>
      </c>
      <c r="C11" s="68">
        <v>2</v>
      </c>
      <c r="D11" s="87">
        <f ca="1">_xlfn.XLOOKUP(A11,'TCL_Nodal masses'!A:A,'TCL_Nodal masses'!C:C,0)</f>
        <v>7058.7680937818559</v>
      </c>
      <c r="E11" s="65">
        <f>_xlfn.XLOOKUP(B11,'TCL_Nodal masses'!A:A,'TCL_Nodal masses'!C:C,0)</f>
        <v>0</v>
      </c>
      <c r="F11" s="87">
        <f>_xlfn.XLOOKUP(C11,TCL_Macroelements!C:C,TCL_Macroelements!AT:AT)*1800</f>
        <v>772.2</v>
      </c>
      <c r="K11" s="25"/>
    </row>
    <row r="12" spans="1:12" x14ac:dyDescent="0.3">
      <c r="A12" s="68">
        <v>3</v>
      </c>
      <c r="B12" s="68">
        <f t="shared" si="0"/>
        <v>1003</v>
      </c>
      <c r="C12" s="68">
        <v>3</v>
      </c>
      <c r="D12" s="87">
        <f ca="1">_xlfn.XLOOKUP(A12,'TCL_Nodal masses'!A:A,'TCL_Nodal masses'!C:C,0)</f>
        <v>4109.641590214067</v>
      </c>
      <c r="E12" s="65">
        <f>_xlfn.XLOOKUP(B12,'TCL_Nodal masses'!A:A,'TCL_Nodal masses'!C:C,0)</f>
        <v>0</v>
      </c>
      <c r="F12" s="87">
        <f>_xlfn.XLOOKUP(C12,TCL_Macroelements!C:C,TCL_Macroelements!AT:AT)*1800</f>
        <v>772.2</v>
      </c>
    </row>
    <row r="13" spans="1:12" x14ac:dyDescent="0.3">
      <c r="A13" s="68">
        <v>5</v>
      </c>
      <c r="B13" s="68">
        <f t="shared" si="0"/>
        <v>1005</v>
      </c>
      <c r="C13" s="68">
        <v>4</v>
      </c>
      <c r="D13" s="87">
        <f ca="1">_xlfn.XLOOKUP(A13,'TCL_Nodal masses'!A:A,'TCL_Nodal masses'!C:C,0)</f>
        <v>5781.6252293577973</v>
      </c>
      <c r="E13" s="65">
        <f>_xlfn.XLOOKUP(B13,'TCL_Nodal masses'!A:A,'TCL_Nodal masses'!C:C,0)</f>
        <v>0</v>
      </c>
      <c r="F13" s="87">
        <f>_xlfn.XLOOKUP(C13,TCL_Macroelements!C:C,TCL_Macroelements!AT:AT)*1800</f>
        <v>772.2</v>
      </c>
      <c r="K13" s="42"/>
    </row>
    <row r="14" spans="1:12" x14ac:dyDescent="0.3">
      <c r="A14" s="68">
        <v>6</v>
      </c>
      <c r="B14" s="68">
        <f t="shared" si="0"/>
        <v>1006</v>
      </c>
      <c r="C14" s="68">
        <v>5</v>
      </c>
      <c r="D14" s="87">
        <f ca="1">_xlfn.XLOOKUP(A14,'TCL_Nodal masses'!A:A,'TCL_Nodal masses'!C:C,0)</f>
        <v>2695.9016819571862</v>
      </c>
      <c r="E14" s="65">
        <f>_xlfn.XLOOKUP(B14,'TCL_Nodal masses'!A:A,'TCL_Nodal masses'!C:C,0)</f>
        <v>0</v>
      </c>
      <c r="F14" s="87">
        <f>_xlfn.XLOOKUP(C14,TCL_Macroelements!C:C,TCL_Macroelements!AT:AT)*1800</f>
        <v>3500.6400000000003</v>
      </c>
    </row>
    <row r="15" spans="1:12" x14ac:dyDescent="0.3">
      <c r="A15" s="68">
        <v>7</v>
      </c>
      <c r="B15" s="68">
        <f t="shared" si="0"/>
        <v>1007</v>
      </c>
      <c r="C15" s="68">
        <v>6</v>
      </c>
      <c r="D15" s="87">
        <f>_xlfn.XLOOKUP(A15,'TCL_Nodal masses'!A:A,'TCL_Nodal masses'!C:C,0)</f>
        <v>3481.9</v>
      </c>
      <c r="E15" s="65">
        <f>_xlfn.XLOOKUP(B15,'TCL_Nodal masses'!A:A,'TCL_Nodal masses'!C:C,0)</f>
        <v>0</v>
      </c>
      <c r="F15" s="87">
        <f>_xlfn.XLOOKUP(C15,TCL_Macroelements!C:C,TCL_Macroelements!AT:AT)*1800</f>
        <v>4207.5000000000009</v>
      </c>
    </row>
    <row r="16" spans="1:12" x14ac:dyDescent="0.3">
      <c r="A16" s="68">
        <v>8</v>
      </c>
      <c r="B16" s="68">
        <f t="shared" si="0"/>
        <v>1008</v>
      </c>
      <c r="C16" s="68">
        <v>7</v>
      </c>
      <c r="D16" s="87">
        <f ca="1">_xlfn.XLOOKUP(A16,'TCL_Nodal masses'!A:A,'TCL_Nodal masses'!C:C,0)</f>
        <v>5119.400564449541</v>
      </c>
      <c r="E16" s="65">
        <f>_xlfn.XLOOKUP(B16,'TCL_Nodal masses'!A:A,'TCL_Nodal masses'!C:C,0)</f>
        <v>0</v>
      </c>
      <c r="F16" s="87">
        <f>_xlfn.XLOOKUP(C16,TCL_Macroelements!C:C,TCL_Macroelements!AT:AT)*1800</f>
        <v>5385.6</v>
      </c>
    </row>
    <row r="17" spans="1:6" x14ac:dyDescent="0.3">
      <c r="A17" s="68">
        <v>9</v>
      </c>
      <c r="B17" s="68">
        <f t="shared" si="0"/>
        <v>1009</v>
      </c>
      <c r="C17" s="68">
        <v>9</v>
      </c>
      <c r="D17" s="87">
        <f>_xlfn.XLOOKUP(A17,'TCL_Nodal masses'!A:A,'TCL_Nodal masses'!C:C,0)</f>
        <v>5356.8</v>
      </c>
      <c r="E17" s="65">
        <f>_xlfn.XLOOKUP(B17,'TCL_Nodal masses'!A:A,'TCL_Nodal masses'!C:C,0)</f>
        <v>0</v>
      </c>
      <c r="F17" s="87">
        <f>_xlfn.XLOOKUP(C17,TCL_Macroelements!C:C,TCL_Macroelements!AT:AT)*1800</f>
        <v>4207.5000000000009</v>
      </c>
    </row>
    <row r="18" spans="1:6" x14ac:dyDescent="0.3">
      <c r="A18" s="68">
        <v>11</v>
      </c>
      <c r="B18" s="68">
        <f t="shared" si="0"/>
        <v>1011</v>
      </c>
      <c r="C18" s="68">
        <v>10</v>
      </c>
      <c r="D18" s="87">
        <f ca="1">_xlfn.XLOOKUP(A18,'TCL_Nodal masses'!A:A,'TCL_Nodal masses'!C:C,0)</f>
        <v>6287.9986153236932</v>
      </c>
      <c r="E18" s="65">
        <f>_xlfn.XLOOKUP(B18,'TCL_Nodal masses'!A:A,'TCL_Nodal masses'!C:C,0)</f>
        <v>0</v>
      </c>
      <c r="F18" s="87">
        <f>_xlfn.XLOOKUP(C18,TCL_Macroelements!C:C,TCL_Macroelements!AT:AT)*1800</f>
        <v>3500.6400000000003</v>
      </c>
    </row>
    <row r="19" spans="1:6" x14ac:dyDescent="0.3">
      <c r="A19" s="68">
        <v>12</v>
      </c>
      <c r="B19" s="68">
        <f t="shared" si="0"/>
        <v>1012</v>
      </c>
      <c r="C19" s="68">
        <v>11</v>
      </c>
      <c r="D19" s="87">
        <f ca="1">_xlfn.XLOOKUP(A19,'TCL_Nodal masses'!A:A,'TCL_Nodal masses'!C:C,0)</f>
        <v>4590.272102995712</v>
      </c>
      <c r="E19" s="65">
        <f>_xlfn.XLOOKUP(B19,'TCL_Nodal masses'!A:A,'TCL_Nodal masses'!C:C,0)</f>
        <v>0</v>
      </c>
      <c r="F19" s="87">
        <f>_xlfn.XLOOKUP(C19,TCL_Macroelements!C:C,TCL_Macroelements!AT:AT)*1800</f>
        <v>2008.7999999999997</v>
      </c>
    </row>
    <row r="20" spans="1:6" x14ac:dyDescent="0.3">
      <c r="A20" s="68">
        <v>13</v>
      </c>
      <c r="B20" s="68">
        <f t="shared" si="0"/>
        <v>1013</v>
      </c>
      <c r="C20" s="68">
        <v>12</v>
      </c>
      <c r="D20" s="87">
        <f>_xlfn.XLOOKUP(A20,'TCL_Nodal masses'!A:A,'TCL_Nodal masses'!C:C,0)</f>
        <v>2096.6</v>
      </c>
      <c r="E20" s="65">
        <f>_xlfn.XLOOKUP(B20,'TCL_Nodal masses'!A:A,'TCL_Nodal masses'!C:C,0)</f>
        <v>0</v>
      </c>
      <c r="F20" s="87">
        <f>_xlfn.XLOOKUP(C20,TCL_Macroelements!C:C,TCL_Macroelements!AT:AT)*1800</f>
        <v>2008.7999999999997</v>
      </c>
    </row>
    <row r="21" spans="1:6" x14ac:dyDescent="0.3">
      <c r="A21" s="68">
        <v>14</v>
      </c>
      <c r="B21" s="68">
        <f t="shared" si="0"/>
        <v>1014</v>
      </c>
      <c r="C21" s="68">
        <v>13</v>
      </c>
      <c r="D21" s="87">
        <f>_xlfn.XLOOKUP(A21,'TCL_Nodal masses'!A:A,'TCL_Nodal masses'!C:C,0)</f>
        <v>2520</v>
      </c>
      <c r="E21" s="65">
        <f>_xlfn.XLOOKUP(B21,'TCL_Nodal masses'!A:A,'TCL_Nodal masses'!C:C,0)</f>
        <v>0</v>
      </c>
      <c r="F21" s="87">
        <f>_xlfn.XLOOKUP(C21,TCL_Macroelements!C:C,TCL_Macroelements!AT:AT)*1800</f>
        <v>2008.7999999999997</v>
      </c>
    </row>
    <row r="22" spans="1:6" x14ac:dyDescent="0.3">
      <c r="A22" s="68">
        <v>15</v>
      </c>
      <c r="B22" s="68">
        <f t="shared" si="0"/>
        <v>1015</v>
      </c>
      <c r="C22" s="68">
        <v>14</v>
      </c>
      <c r="D22" s="87">
        <f>_xlfn.XLOOKUP(A22,'TCL_Nodal masses'!A:A,'TCL_Nodal masses'!C:C,0)</f>
        <v>0</v>
      </c>
      <c r="E22" s="65">
        <f>_xlfn.XLOOKUP(B22,'TCL_Nodal masses'!A:A,'TCL_Nodal masses'!C:C,0)</f>
        <v>0</v>
      </c>
      <c r="F22" s="87">
        <f>_xlfn.XLOOKUP(C22,TCL_Macroelements!C:C,TCL_Macroelements!AT:AT)*1800</f>
        <v>2008.7999999999997</v>
      </c>
    </row>
    <row r="23" spans="1:6" x14ac:dyDescent="0.3">
      <c r="A23" s="68">
        <v>16</v>
      </c>
      <c r="B23" s="68">
        <f t="shared" si="0"/>
        <v>1016</v>
      </c>
      <c r="C23" s="68">
        <v>15</v>
      </c>
      <c r="D23" s="87">
        <f>_xlfn.XLOOKUP(A23,'TCL_Nodal masses'!A:A,'TCL_Nodal masses'!C:C,0)</f>
        <v>0</v>
      </c>
      <c r="E23" s="65">
        <f>_xlfn.XLOOKUP(B23,'TCL_Nodal masses'!A:A,'TCL_Nodal masses'!C:C,0)</f>
        <v>0</v>
      </c>
      <c r="F23" s="87">
        <f>_xlfn.XLOOKUP(C23,TCL_Macroelements!C:C,TCL_Macroelements!AT:AT)*1800</f>
        <v>3669.1199999999994</v>
      </c>
    </row>
    <row r="24" spans="1:6" x14ac:dyDescent="0.3">
      <c r="A24" s="68">
        <v>17</v>
      </c>
      <c r="B24" s="68">
        <f t="shared" si="0"/>
        <v>1017</v>
      </c>
      <c r="C24" s="68">
        <v>16</v>
      </c>
      <c r="D24" s="87">
        <f>_xlfn.XLOOKUP(A24,'TCL_Nodal masses'!A:A,'TCL_Nodal masses'!C:C,0)</f>
        <v>2520</v>
      </c>
      <c r="E24" s="65">
        <f>_xlfn.XLOOKUP(B24,'TCL_Nodal masses'!A:A,'TCL_Nodal masses'!C:C,0)</f>
        <v>0</v>
      </c>
      <c r="F24" s="87">
        <f>_xlfn.XLOOKUP(C24,TCL_Macroelements!C:C,TCL_Macroelements!AT:AT)*1800</f>
        <v>4409.9999999999991</v>
      </c>
    </row>
    <row r="25" spans="1:6" x14ac:dyDescent="0.3">
      <c r="A25" s="68">
        <v>18</v>
      </c>
      <c r="B25" s="88">
        <f t="shared" si="0"/>
        <v>1018</v>
      </c>
      <c r="C25" s="88">
        <v>17</v>
      </c>
      <c r="D25" s="87">
        <f>_xlfn.XLOOKUP(A25,'TCL_Nodal masses'!A:A,'TCL_Nodal masses'!C:C,0)</f>
        <v>2096.6</v>
      </c>
      <c r="E25" s="89">
        <f>_xlfn.XLOOKUP(B25,'TCL_Nodal masses'!A:A,'TCL_Nodal masses'!C:C,0)</f>
        <v>0</v>
      </c>
      <c r="F25" s="90">
        <f>_xlfn.XLOOKUP(C25,TCL_Macroelements!C:C,TCL_Macroelements!AT:AT)*1800</f>
        <v>2356.1999999999998</v>
      </c>
    </row>
    <row r="26" spans="1:6" x14ac:dyDescent="0.3">
      <c r="B26" s="66">
        <v>1308</v>
      </c>
      <c r="C26" s="68">
        <v>18</v>
      </c>
      <c r="D26" s="49"/>
      <c r="E26" s="65">
        <f>_xlfn.XLOOKUP(B26,'TCL_Nodal masses'!A:A,'TCL_Nodal masses'!C:C,0)</f>
        <v>0</v>
      </c>
      <c r="F26" s="87">
        <f>_xlfn.XLOOKUP(C26,TCL_Macroelements!C:C,TCL_Macroelements!AT:AT)*1800</f>
        <v>2356.1999999999998</v>
      </c>
    </row>
    <row r="27" spans="1:6" x14ac:dyDescent="0.3">
      <c r="B27" s="68">
        <v>1309</v>
      </c>
      <c r="C27" s="68">
        <v>19</v>
      </c>
      <c r="D27" s="49"/>
      <c r="E27" s="65">
        <f>_xlfn.XLOOKUP(B27,'TCL_Nodal masses'!A:A,'TCL_Nodal masses'!C:C,0)</f>
        <v>0</v>
      </c>
      <c r="F27" s="87">
        <f>_xlfn.XLOOKUP(C27,TCL_Macroelements!C:C,TCL_Macroelements!AT:AT)*1800</f>
        <v>4409.9999999999991</v>
      </c>
    </row>
    <row r="28" spans="1:6" x14ac:dyDescent="0.3">
      <c r="B28" s="68">
        <v>1315</v>
      </c>
      <c r="C28" s="68">
        <v>20</v>
      </c>
      <c r="D28" s="49"/>
      <c r="E28" s="65">
        <f>_xlfn.XLOOKUP(B28,'TCL_Nodal masses'!A:A,'TCL_Nodal masses'!C:C,0)</f>
        <v>0</v>
      </c>
      <c r="F28" s="87">
        <f>_xlfn.XLOOKUP(C28,TCL_Macroelements!C:C,TCL_Macroelements!AT:AT)*1800</f>
        <v>3669.1199999999994</v>
      </c>
    </row>
    <row r="29" spans="1:6" x14ac:dyDescent="0.3">
      <c r="B29" s="68">
        <v>1316</v>
      </c>
      <c r="C29" s="68">
        <v>21</v>
      </c>
      <c r="D29" s="49"/>
      <c r="E29" s="65">
        <f>_xlfn.XLOOKUP(B29,'TCL_Nodal masses'!A:A,'TCL_Nodal masses'!C:C,0)</f>
        <v>0</v>
      </c>
      <c r="F29" s="87">
        <f>_xlfn.XLOOKUP(C29,TCL_Macroelements!C:C,TCL_Macroelements!AT:AT)*1800</f>
        <v>1209.5999999999999</v>
      </c>
    </row>
    <row r="30" spans="1:6" x14ac:dyDescent="0.3">
      <c r="C30" s="68">
        <v>22</v>
      </c>
      <c r="D30" s="49"/>
      <c r="E30" s="25"/>
      <c r="F30" s="87">
        <f>_xlfn.XLOOKUP(C30,TCL_Macroelements!C:C,TCL_Macroelements!AT:AT)*1800</f>
        <v>1209.5999999999999</v>
      </c>
    </row>
    <row r="31" spans="1:6" x14ac:dyDescent="0.3">
      <c r="C31" s="68">
        <v>23</v>
      </c>
      <c r="D31" s="49"/>
      <c r="E31" s="25"/>
      <c r="F31" s="87">
        <f>_xlfn.XLOOKUP(C31,TCL_Macroelements!C:C,TCL_Macroelements!AT:AT)*1800</f>
        <v>1209.5999999999999</v>
      </c>
    </row>
    <row r="32" spans="1:6" x14ac:dyDescent="0.3">
      <c r="C32" s="68">
        <v>24</v>
      </c>
      <c r="D32" s="49"/>
      <c r="E32" s="25"/>
      <c r="F32" s="87">
        <f>_xlfn.XLOOKUP(C32,TCL_Macroelements!C:C,TCL_Macroelements!AT:AT)*1800</f>
        <v>1209.5999999999999</v>
      </c>
    </row>
    <row r="33" spans="1:13" ht="7" customHeight="1" x14ac:dyDescent="0.3">
      <c r="D33" s="25"/>
      <c r="E33" s="25"/>
      <c r="F33" s="25"/>
    </row>
    <row r="34" spans="1:13" ht="14.5" thickBot="1" x14ac:dyDescent="0.35">
      <c r="D34" s="50">
        <f ca="1">SUM(D10:D32)</f>
        <v>58199.313382667002</v>
      </c>
      <c r="E34" s="50">
        <f t="shared" ref="E34:F34" si="1">SUM(E10:E32)</f>
        <v>0</v>
      </c>
      <c r="F34" s="50">
        <f t="shared" si="1"/>
        <v>57634.919999999991</v>
      </c>
      <c r="G34" s="47">
        <f ca="1">SUM(D34:F34)</f>
        <v>115834.23338266699</v>
      </c>
      <c r="H34" s="46" t="s">
        <v>228</v>
      </c>
    </row>
    <row r="35" spans="1:13" ht="14.5" thickTop="1" x14ac:dyDescent="0.3">
      <c r="E35" s="141" t="s">
        <v>287</v>
      </c>
      <c r="F35" s="141"/>
      <c r="G35" s="48">
        <v>118940</v>
      </c>
      <c r="H35" s="44" t="s">
        <v>228</v>
      </c>
    </row>
    <row r="36" spans="1:13" x14ac:dyDescent="0.3">
      <c r="F36" t="s">
        <v>288</v>
      </c>
      <c r="G36" s="29">
        <f ca="1">G35-G34</f>
        <v>3105.7666173330072</v>
      </c>
      <c r="H36" t="s">
        <v>228</v>
      </c>
    </row>
    <row r="37" spans="1:13" x14ac:dyDescent="0.3">
      <c r="F37" t="s">
        <v>292</v>
      </c>
      <c r="G37" s="42">
        <f ca="1">G36/G34</f>
        <v>2.6812165338660088E-2</v>
      </c>
    </row>
    <row r="39" spans="1:13" x14ac:dyDescent="0.3">
      <c r="A39" s="74" t="s">
        <v>293</v>
      </c>
      <c r="B39" s="74"/>
      <c r="C39" s="74"/>
      <c r="D39" s="74"/>
      <c r="E39" s="74"/>
      <c r="F39" s="75"/>
      <c r="G39" s="75"/>
      <c r="H39" s="75"/>
    </row>
    <row r="40" spans="1:13" s="86" customFormat="1" x14ac:dyDescent="0.3">
      <c r="A40" s="85" t="s">
        <v>14</v>
      </c>
      <c r="B40" s="86" t="s">
        <v>290</v>
      </c>
      <c r="C40" s="86" t="s">
        <v>285</v>
      </c>
      <c r="D40" s="86" t="s">
        <v>19</v>
      </c>
      <c r="E40" s="86" t="s">
        <v>205</v>
      </c>
      <c r="F40" s="86" t="s">
        <v>291</v>
      </c>
    </row>
    <row r="41" spans="1:13" x14ac:dyDescent="0.3">
      <c r="A41" s="68">
        <v>19</v>
      </c>
      <c r="B41" s="68">
        <f t="shared" ref="B41:B52" si="2">A41+1000</f>
        <v>1019</v>
      </c>
      <c r="C41" s="68">
        <v>25</v>
      </c>
      <c r="D41" s="87">
        <f ca="1">_xlfn.XLOOKUP(A41,'TCL_Nodal masses'!A:A,'TCL_Nodal masses'!C:C,0)</f>
        <v>2925.1082568807342</v>
      </c>
      <c r="E41" s="65">
        <f>_xlfn.XLOOKUP(B41,'TCL_Nodal masses'!A:A,'TCL_Nodal masses'!C:C,0)</f>
        <v>0</v>
      </c>
      <c r="F41" s="87">
        <f>_xlfn.XLOOKUP(C41,TCL_Macroelements!C:C,TCL_Macroelements!AT:AT)*1800</f>
        <v>772.2</v>
      </c>
      <c r="G41" s="19"/>
      <c r="J41" s="29"/>
      <c r="K41" s="29"/>
      <c r="M41" s="29"/>
    </row>
    <row r="42" spans="1:13" x14ac:dyDescent="0.3">
      <c r="A42" s="68">
        <v>20</v>
      </c>
      <c r="B42" s="68">
        <f t="shared" si="2"/>
        <v>1020</v>
      </c>
      <c r="C42" s="68">
        <v>26</v>
      </c>
      <c r="D42" s="87">
        <f ca="1">_xlfn.XLOOKUP(A42,'TCL_Nodal masses'!A:A,'TCL_Nodal masses'!C:C,0)</f>
        <v>5329.9443425076461</v>
      </c>
      <c r="E42" s="65">
        <f>_xlfn.XLOOKUP(B42,'TCL_Nodal masses'!A:A,'TCL_Nodal masses'!C:C,0)</f>
        <v>0</v>
      </c>
      <c r="F42" s="87">
        <f>_xlfn.XLOOKUP(C42,TCL_Macroelements!C:C,TCL_Macroelements!AT:AT)*1800</f>
        <v>772.2</v>
      </c>
      <c r="J42" s="29"/>
      <c r="K42" s="29"/>
      <c r="M42" s="29"/>
    </row>
    <row r="43" spans="1:13" x14ac:dyDescent="0.3">
      <c r="A43" s="68">
        <v>21</v>
      </c>
      <c r="B43" s="68">
        <f t="shared" si="2"/>
        <v>1021</v>
      </c>
      <c r="C43" s="68">
        <v>28</v>
      </c>
      <c r="D43" s="87">
        <f ca="1">_xlfn.XLOOKUP(A43,'TCL_Nodal masses'!A:A,'TCL_Nodal masses'!C:C,0)</f>
        <v>2182.160244648318</v>
      </c>
      <c r="E43" s="65">
        <f>_xlfn.XLOOKUP(B43,'TCL_Nodal masses'!A:A,'TCL_Nodal masses'!C:C,0)</f>
        <v>0</v>
      </c>
      <c r="F43" s="87">
        <f>_xlfn.XLOOKUP(C43,TCL_Macroelements!C:C,TCL_Macroelements!AT:AT)*1800</f>
        <v>3837.2399999999993</v>
      </c>
      <c r="J43" s="29"/>
      <c r="K43" s="29"/>
      <c r="M43" s="29"/>
    </row>
    <row r="44" spans="1:13" x14ac:dyDescent="0.3">
      <c r="A44" s="68">
        <v>22</v>
      </c>
      <c r="B44" s="68">
        <f t="shared" si="2"/>
        <v>1022</v>
      </c>
      <c r="C44" s="68">
        <v>29</v>
      </c>
      <c r="D44" s="87">
        <f ca="1">_xlfn.XLOOKUP(A44,'TCL_Nodal masses'!A:A,'TCL_Nodal masses'!C:C,0)</f>
        <v>8694.1116469000935</v>
      </c>
      <c r="E44" s="65">
        <f>_xlfn.XLOOKUP(B44,'TCL_Nodal masses'!A:A,'TCL_Nodal masses'!C:C,0)</f>
        <v>0</v>
      </c>
      <c r="F44" s="87">
        <f>_xlfn.XLOOKUP(C44,TCL_Macroelements!C:C,TCL_Macroelements!AT:AT)*1800</f>
        <v>7405.2000000000016</v>
      </c>
      <c r="J44" s="29"/>
      <c r="K44" s="29"/>
      <c r="M44" s="29"/>
    </row>
    <row r="45" spans="1:13" x14ac:dyDescent="0.3">
      <c r="A45" s="68">
        <v>23</v>
      </c>
      <c r="B45" s="68">
        <f t="shared" si="2"/>
        <v>1023</v>
      </c>
      <c r="C45" s="68">
        <v>30</v>
      </c>
      <c r="D45" s="87">
        <f ca="1">_xlfn.XLOOKUP(A45,'TCL_Nodal masses'!A:A,'TCL_Nodal masses'!C:C,0)</f>
        <v>12243.011646900093</v>
      </c>
      <c r="E45" s="65">
        <f>_xlfn.XLOOKUP(B45,'TCL_Nodal masses'!A:A,'TCL_Nodal masses'!C:C,0)</f>
        <v>0</v>
      </c>
      <c r="F45" s="87">
        <f>_xlfn.XLOOKUP(C45,TCL_Macroelements!C:C,TCL_Macroelements!AT:AT)*1800</f>
        <v>3837.2399999999993</v>
      </c>
      <c r="J45" s="29"/>
      <c r="K45" s="29"/>
      <c r="M45" s="29"/>
    </row>
    <row r="46" spans="1:13" x14ac:dyDescent="0.3">
      <c r="A46" s="68">
        <v>24</v>
      </c>
      <c r="B46" s="68">
        <f t="shared" si="2"/>
        <v>1024</v>
      </c>
      <c r="C46" s="68">
        <v>31</v>
      </c>
      <c r="D46" s="87">
        <f>_xlfn.XLOOKUP(A46,'TCL_Nodal masses'!A:A,'TCL_Nodal masses'!C:C,0)</f>
        <v>3816.7</v>
      </c>
      <c r="E46" s="65">
        <f>_xlfn.XLOOKUP(B46,'TCL_Nodal masses'!A:A,'TCL_Nodal masses'!C:C,0)</f>
        <v>0</v>
      </c>
      <c r="F46" s="87">
        <f>_xlfn.XLOOKUP(C46,TCL_Macroelements!C:C,TCL_Macroelements!AT:AT)*1800</f>
        <v>2008.7999999999997</v>
      </c>
      <c r="J46" s="29"/>
      <c r="K46" s="29"/>
      <c r="M46" s="29"/>
    </row>
    <row r="47" spans="1:13" x14ac:dyDescent="0.3">
      <c r="A47" s="68">
        <v>25</v>
      </c>
      <c r="B47" s="68">
        <f t="shared" si="2"/>
        <v>1025</v>
      </c>
      <c r="C47" s="68">
        <v>32</v>
      </c>
      <c r="D47" s="87">
        <f>_xlfn.XLOOKUP(A47,'TCL_Nodal masses'!A:A,'TCL_Nodal masses'!C:C,0)</f>
        <v>0</v>
      </c>
      <c r="E47" s="65">
        <f>_xlfn.XLOOKUP(B47,'TCL_Nodal masses'!A:A,'TCL_Nodal masses'!C:C,0)</f>
        <v>0</v>
      </c>
      <c r="F47" s="87">
        <f>_xlfn.XLOOKUP(C47,TCL_Macroelements!C:C,TCL_Macroelements!AT:AT)*1800</f>
        <v>2008.7999999999997</v>
      </c>
      <c r="J47" s="29"/>
      <c r="K47" s="29"/>
      <c r="M47" s="29"/>
    </row>
    <row r="48" spans="1:13" x14ac:dyDescent="0.3">
      <c r="A48" s="68">
        <v>26</v>
      </c>
      <c r="B48" s="68">
        <f t="shared" si="2"/>
        <v>1026</v>
      </c>
      <c r="C48" s="68">
        <v>34</v>
      </c>
      <c r="D48" s="87">
        <f>_xlfn.XLOOKUP(A48,'TCL_Nodal masses'!A:A,'TCL_Nodal masses'!C:C,0)</f>
        <v>0</v>
      </c>
      <c r="E48" s="65">
        <f>_xlfn.XLOOKUP(B48,'TCL_Nodal masses'!A:A,'TCL_Nodal masses'!C:C,0)</f>
        <v>0</v>
      </c>
      <c r="F48" s="87">
        <f>_xlfn.XLOOKUP(C48,TCL_Macroelements!C:C,TCL_Macroelements!AT:AT)*1800</f>
        <v>6320.1599999999989</v>
      </c>
      <c r="J48" s="29"/>
      <c r="K48" s="29"/>
      <c r="M48" s="29"/>
    </row>
    <row r="49" spans="1:13" x14ac:dyDescent="0.3">
      <c r="A49" s="68">
        <v>27</v>
      </c>
      <c r="B49" s="68">
        <f t="shared" si="2"/>
        <v>1027</v>
      </c>
      <c r="C49" s="68">
        <v>35</v>
      </c>
      <c r="D49" s="87">
        <f>_xlfn.XLOOKUP(A49,'TCL_Nodal masses'!A:A,'TCL_Nodal masses'!C:C,0)</f>
        <v>2298.1999999999998</v>
      </c>
      <c r="E49" s="65">
        <f>_xlfn.XLOOKUP(B49,'TCL_Nodal masses'!A:A,'TCL_Nodal masses'!C:C,0)</f>
        <v>0</v>
      </c>
      <c r="F49" s="87">
        <f>_xlfn.XLOOKUP(C49,TCL_Macroelements!C:C,TCL_Macroelements!AT:AT)*1800</f>
        <v>11919.6</v>
      </c>
      <c r="J49" s="29"/>
      <c r="K49" s="29"/>
      <c r="M49" s="29"/>
    </row>
    <row r="50" spans="1:13" x14ac:dyDescent="0.3">
      <c r="A50" s="68">
        <v>61</v>
      </c>
      <c r="B50" s="68">
        <f t="shared" si="2"/>
        <v>1061</v>
      </c>
      <c r="C50" s="68">
        <v>36</v>
      </c>
      <c r="D50" s="87">
        <f ca="1">_xlfn.XLOOKUP(A50,'TCL_Nodal masses'!A:A,'TCL_Nodal masses'!C:C,0)</f>
        <v>194.64220183486242</v>
      </c>
      <c r="E50" s="65">
        <f>_xlfn.XLOOKUP(B50,'TCL_Nodal masses'!A:A,'TCL_Nodal masses'!C:C,0)</f>
        <v>0</v>
      </c>
      <c r="F50" s="87">
        <f>_xlfn.XLOOKUP(C50,TCL_Macroelements!C:C,TCL_Macroelements!AT:AT)*1800</f>
        <v>4021.9199999999992</v>
      </c>
      <c r="J50" s="29"/>
      <c r="M50" s="29"/>
    </row>
    <row r="51" spans="1:13" x14ac:dyDescent="0.3">
      <c r="A51" s="68">
        <v>65</v>
      </c>
      <c r="B51" s="68">
        <f t="shared" si="2"/>
        <v>1065</v>
      </c>
      <c r="C51" s="68">
        <v>37</v>
      </c>
      <c r="D51" s="87">
        <f>_xlfn.XLOOKUP(A51,'TCL_Nodal masses'!A:A,'TCL_Nodal masses'!C:C,0)</f>
        <v>0</v>
      </c>
      <c r="E51" s="65">
        <f>_xlfn.XLOOKUP(B51,'TCL_Nodal masses'!A:A,'TCL_Nodal masses'!C:C,0)</f>
        <v>0</v>
      </c>
      <c r="F51" s="87">
        <f>_xlfn.XLOOKUP(C51,TCL_Macroelements!C:C,TCL_Macroelements!AT:AT)*1800</f>
        <v>1209.5999999999999</v>
      </c>
      <c r="J51" s="29"/>
      <c r="M51" s="29"/>
    </row>
    <row r="52" spans="1:13" x14ac:dyDescent="0.3">
      <c r="A52" s="68">
        <v>69</v>
      </c>
      <c r="B52" s="68">
        <f t="shared" si="2"/>
        <v>1069</v>
      </c>
      <c r="D52" s="87">
        <f>_xlfn.XLOOKUP(A52,'TCL_Nodal masses'!A:A,'TCL_Nodal masses'!C:C,0)</f>
        <v>0</v>
      </c>
      <c r="E52" s="65">
        <f>_xlfn.XLOOKUP(B52,'TCL_Nodal masses'!A:A,'TCL_Nodal masses'!C:C,0)</f>
        <v>0</v>
      </c>
      <c r="F52" s="25"/>
    </row>
    <row r="53" spans="1:13" ht="7" customHeight="1" x14ac:dyDescent="0.3">
      <c r="D53" s="25"/>
      <c r="E53" s="25"/>
      <c r="F53" s="25"/>
    </row>
    <row r="54" spans="1:13" ht="14.5" thickBot="1" x14ac:dyDescent="0.35">
      <c r="D54" s="50">
        <f ca="1">SUM(D41:D51)</f>
        <v>37683.878339671741</v>
      </c>
      <c r="E54" s="50">
        <f>SUM(E41:E51)</f>
        <v>0</v>
      </c>
      <c r="F54" s="50">
        <f>SUM(F41:F51)</f>
        <v>44112.959999999992</v>
      </c>
      <c r="G54" s="47">
        <f ca="1">SUM(D54:F54)</f>
        <v>81796.838339671725</v>
      </c>
      <c r="H54" s="46" t="s">
        <v>228</v>
      </c>
    </row>
    <row r="55" spans="1:13" ht="14.5" thickTop="1" x14ac:dyDescent="0.3">
      <c r="E55" s="141" t="s">
        <v>287</v>
      </c>
      <c r="F55" s="141"/>
      <c r="G55" s="48">
        <v>81652</v>
      </c>
      <c r="H55" s="44" t="s">
        <v>228</v>
      </c>
    </row>
    <row r="56" spans="1:13" x14ac:dyDescent="0.3">
      <c r="F56" t="s">
        <v>288</v>
      </c>
      <c r="G56" s="29">
        <f ca="1">G55-G54</f>
        <v>-144.83833967172541</v>
      </c>
      <c r="H56" t="s">
        <v>228</v>
      </c>
    </row>
    <row r="57" spans="1:13" x14ac:dyDescent="0.3">
      <c r="F57" t="s">
        <v>292</v>
      </c>
      <c r="G57" s="42">
        <f ca="1">G56/G54</f>
        <v>-1.7707082891182892E-3</v>
      </c>
    </row>
    <row r="59" spans="1:13" x14ac:dyDescent="0.3">
      <c r="A59" s="74" t="s">
        <v>294</v>
      </c>
      <c r="B59" s="74"/>
      <c r="C59" s="74"/>
      <c r="D59" s="74"/>
      <c r="E59" s="74"/>
      <c r="F59" s="75"/>
      <c r="G59" s="75"/>
      <c r="H59" s="75"/>
    </row>
    <row r="60" spans="1:13" s="86" customFormat="1" x14ac:dyDescent="0.3">
      <c r="A60" s="85" t="s">
        <v>14</v>
      </c>
      <c r="B60" s="86" t="s">
        <v>290</v>
      </c>
      <c r="C60" s="86" t="s">
        <v>285</v>
      </c>
      <c r="D60" s="86" t="s">
        <v>19</v>
      </c>
      <c r="E60" s="86" t="s">
        <v>205</v>
      </c>
      <c r="F60" s="86" t="s">
        <v>291</v>
      </c>
    </row>
    <row r="61" spans="1:13" x14ac:dyDescent="0.3">
      <c r="A61" s="68">
        <v>28</v>
      </c>
      <c r="B61" s="68">
        <f t="shared" ref="B61:B75" si="3">A61+1000</f>
        <v>1028</v>
      </c>
      <c r="C61" s="68">
        <v>38</v>
      </c>
      <c r="D61" s="87">
        <f ca="1">_xlfn.XLOOKUP(A61,'TCL_Nodal masses'!A:A,'TCL_Nodal masses'!C:C,0)</f>
        <v>7376.3182466870512</v>
      </c>
      <c r="E61" s="65">
        <f>_xlfn.XLOOKUP(B61,'TCL_Nodal masses'!A:A,'TCL_Nodal masses'!C:C,0)</f>
        <v>0</v>
      </c>
      <c r="F61" s="87">
        <f>_xlfn.XLOOKUP(C61,TCL_Macroelements!C:C,TCL_Macroelements!AT:AT)*1800</f>
        <v>772.2</v>
      </c>
      <c r="G61" s="19"/>
    </row>
    <row r="62" spans="1:13" x14ac:dyDescent="0.3">
      <c r="A62" s="68">
        <v>29</v>
      </c>
      <c r="B62" s="68">
        <f t="shared" si="3"/>
        <v>1029</v>
      </c>
      <c r="C62" s="68">
        <v>39</v>
      </c>
      <c r="D62" s="87">
        <f ca="1">_xlfn.XLOOKUP(A62,'TCL_Nodal masses'!A:A,'TCL_Nodal masses'!C:C,0)</f>
        <v>6801.0130479102954</v>
      </c>
      <c r="E62" s="65">
        <f>_xlfn.XLOOKUP(B62,'TCL_Nodal masses'!A:A,'TCL_Nodal masses'!C:C,0)</f>
        <v>0</v>
      </c>
      <c r="F62" s="87">
        <f>_xlfn.XLOOKUP(C62,TCL_Macroelements!C:C,TCL_Macroelements!AT:AT)*1800</f>
        <v>772.2</v>
      </c>
    </row>
    <row r="63" spans="1:13" x14ac:dyDescent="0.3">
      <c r="A63" s="68">
        <v>30</v>
      </c>
      <c r="B63" s="68">
        <f t="shared" si="3"/>
        <v>1030</v>
      </c>
      <c r="C63" s="68">
        <v>40</v>
      </c>
      <c r="D63" s="87">
        <f ca="1">_xlfn.XLOOKUP(A63,'TCL_Nodal masses'!A:A,'TCL_Nodal masses'!C:C,0)</f>
        <v>8706.9911314984711</v>
      </c>
      <c r="E63" s="65">
        <f>_xlfn.XLOOKUP(B63,'TCL_Nodal masses'!A:A,'TCL_Nodal masses'!C:C,0)</f>
        <v>0</v>
      </c>
      <c r="F63" s="87">
        <f>_xlfn.XLOOKUP(C63,TCL_Macroelements!C:C,TCL_Macroelements!AT:AT)*1800</f>
        <v>772.2</v>
      </c>
    </row>
    <row r="64" spans="1:13" x14ac:dyDescent="0.3">
      <c r="A64" s="68">
        <v>31</v>
      </c>
      <c r="B64" s="68">
        <f t="shared" si="3"/>
        <v>1031</v>
      </c>
      <c r="C64" s="68">
        <v>41</v>
      </c>
      <c r="D64" s="87">
        <f ca="1">_xlfn.XLOOKUP(A64,'TCL_Nodal masses'!A:A,'TCL_Nodal masses'!C:C,0)</f>
        <v>4437.0482161060136</v>
      </c>
      <c r="E64" s="65">
        <f>_xlfn.XLOOKUP(B64,'TCL_Nodal masses'!A:A,'TCL_Nodal masses'!C:C,0)</f>
        <v>0</v>
      </c>
      <c r="F64" s="87">
        <f>_xlfn.XLOOKUP(C64,TCL_Macroelements!C:C,TCL_Macroelements!AT:AT)*1800</f>
        <v>772.2</v>
      </c>
    </row>
    <row r="65" spans="1:6" x14ac:dyDescent="0.3">
      <c r="A65" s="68">
        <v>32</v>
      </c>
      <c r="B65" s="68">
        <f t="shared" si="3"/>
        <v>1032</v>
      </c>
      <c r="C65" s="68">
        <v>42</v>
      </c>
      <c r="D65" s="87">
        <f ca="1">_xlfn.XLOOKUP(A65,'TCL_Nodal masses'!A:A,'TCL_Nodal masses'!C:C,0)</f>
        <v>14202.160689153883</v>
      </c>
      <c r="E65" s="65">
        <f>_xlfn.XLOOKUP(B65,'TCL_Nodal masses'!A:A,'TCL_Nodal masses'!C:C,0)</f>
        <v>0</v>
      </c>
      <c r="F65" s="87">
        <f>_xlfn.XLOOKUP(C65,TCL_Macroelements!C:C,TCL_Macroelements!AT:AT)*1800</f>
        <v>3500.6400000000003</v>
      </c>
    </row>
    <row r="66" spans="1:6" x14ac:dyDescent="0.3">
      <c r="A66" s="68">
        <v>33</v>
      </c>
      <c r="B66" s="68">
        <f t="shared" si="3"/>
        <v>1033</v>
      </c>
      <c r="C66" s="68">
        <v>43</v>
      </c>
      <c r="D66" s="87">
        <f ca="1">_xlfn.XLOOKUP(A66,'TCL_Nodal masses'!A:A,'TCL_Nodal masses'!C:C,0)</f>
        <v>13271.300741361985</v>
      </c>
      <c r="E66" s="65">
        <f>_xlfn.XLOOKUP(B66,'TCL_Nodal masses'!A:A,'TCL_Nodal masses'!C:C,0)</f>
        <v>0</v>
      </c>
      <c r="F66" s="87">
        <f>_xlfn.XLOOKUP(C66,TCL_Macroelements!C:C,TCL_Macroelements!AT:AT)*1800</f>
        <v>4544.1000000000004</v>
      </c>
    </row>
    <row r="67" spans="1:6" x14ac:dyDescent="0.3">
      <c r="A67" s="68">
        <v>34</v>
      </c>
      <c r="B67" s="68">
        <f t="shared" si="3"/>
        <v>1034</v>
      </c>
      <c r="C67" s="68">
        <v>44</v>
      </c>
      <c r="D67" s="87">
        <f ca="1">_xlfn.XLOOKUP(A67,'TCL_Nodal masses'!A:A,'TCL_Nodal masses'!C:C,0)</f>
        <v>16487.046327663473</v>
      </c>
      <c r="E67" s="65">
        <f>_xlfn.XLOOKUP(B67,'TCL_Nodal masses'!A:A,'TCL_Nodal masses'!C:C,0)</f>
        <v>0</v>
      </c>
      <c r="F67" s="87">
        <f>_xlfn.XLOOKUP(C67,TCL_Macroelements!C:C,TCL_Macroelements!AT:AT)*1800</f>
        <v>4712.3999999999996</v>
      </c>
    </row>
    <row r="68" spans="1:6" x14ac:dyDescent="0.3">
      <c r="A68" s="68">
        <v>35</v>
      </c>
      <c r="B68" s="68">
        <f t="shared" si="3"/>
        <v>1035</v>
      </c>
      <c r="C68" s="68">
        <v>45</v>
      </c>
      <c r="D68" s="87">
        <f ca="1">_xlfn.XLOOKUP(A68,'TCL_Nodal masses'!A:A,'TCL_Nodal masses'!C:C,0)</f>
        <v>10020.964976508099</v>
      </c>
      <c r="E68" s="65">
        <f>_xlfn.XLOOKUP(B68,'TCL_Nodal masses'!A:A,'TCL_Nodal masses'!C:C,0)</f>
        <v>0</v>
      </c>
      <c r="F68" s="87">
        <f>_xlfn.XLOOKUP(C68,TCL_Macroelements!C:C,TCL_Macroelements!AT:AT)*1800</f>
        <v>4544.1000000000004</v>
      </c>
    </row>
    <row r="69" spans="1:6" x14ac:dyDescent="0.3">
      <c r="A69" s="68">
        <v>36</v>
      </c>
      <c r="B69" s="68">
        <f t="shared" si="3"/>
        <v>1036</v>
      </c>
      <c r="C69" s="68">
        <v>46</v>
      </c>
      <c r="D69" s="87">
        <f>_xlfn.XLOOKUP(A69,'TCL_Nodal masses'!A:A,'TCL_Nodal masses'!C:C,0)</f>
        <v>2721.6</v>
      </c>
      <c r="E69" s="65">
        <f>_xlfn.XLOOKUP(B69,'TCL_Nodal masses'!A:A,'TCL_Nodal masses'!C:C,0)</f>
        <v>0</v>
      </c>
      <c r="F69" s="87">
        <f>_xlfn.XLOOKUP(C69,TCL_Macroelements!C:C,TCL_Macroelements!AT:AT)*1800</f>
        <v>3500.6400000000003</v>
      </c>
    </row>
    <row r="70" spans="1:6" x14ac:dyDescent="0.3">
      <c r="A70" s="68">
        <v>37</v>
      </c>
      <c r="B70" s="68">
        <f t="shared" si="3"/>
        <v>1037</v>
      </c>
      <c r="C70" s="68">
        <v>47</v>
      </c>
      <c r="D70" s="87">
        <f>_xlfn.XLOOKUP(A70,'TCL_Nodal masses'!A:A,'TCL_Nodal masses'!C:C,0)</f>
        <v>2822.4</v>
      </c>
      <c r="E70" s="65">
        <f>_xlfn.XLOOKUP(B70,'TCL_Nodal masses'!A:A,'TCL_Nodal masses'!C:C,0)</f>
        <v>0</v>
      </c>
      <c r="F70" s="87">
        <f>_xlfn.XLOOKUP(C70,TCL_Macroelements!C:C,TCL_Macroelements!AT:AT)*1800</f>
        <v>2008.7999999999997</v>
      </c>
    </row>
    <row r="71" spans="1:6" x14ac:dyDescent="0.3">
      <c r="A71" s="68">
        <v>38</v>
      </c>
      <c r="B71" s="68">
        <f t="shared" si="3"/>
        <v>1038</v>
      </c>
      <c r="C71" s="68">
        <v>48</v>
      </c>
      <c r="D71" s="87">
        <f>_xlfn.XLOOKUP(A71,'TCL_Nodal masses'!A:A,'TCL_Nodal masses'!C:C,0)</f>
        <v>2721.6</v>
      </c>
      <c r="E71" s="65">
        <f>_xlfn.XLOOKUP(B71,'TCL_Nodal masses'!A:A,'TCL_Nodal masses'!C:C,0)</f>
        <v>0</v>
      </c>
      <c r="F71" s="87">
        <f>_xlfn.XLOOKUP(C71,TCL_Macroelements!C:C,TCL_Macroelements!AT:AT)*1800</f>
        <v>2008.7999999999997</v>
      </c>
    </row>
    <row r="72" spans="1:6" x14ac:dyDescent="0.3">
      <c r="A72" s="68">
        <v>39</v>
      </c>
      <c r="B72" s="68">
        <f t="shared" si="3"/>
        <v>1039</v>
      </c>
      <c r="C72" s="68">
        <v>49</v>
      </c>
      <c r="D72" s="87">
        <f>_xlfn.XLOOKUP(A72,'TCL_Nodal masses'!A:A,'TCL_Nodal masses'!C:C,0)</f>
        <v>2096.6</v>
      </c>
      <c r="E72" s="65">
        <f>_xlfn.XLOOKUP(B72,'TCL_Nodal masses'!A:A,'TCL_Nodal masses'!C:C,0)</f>
        <v>0</v>
      </c>
      <c r="F72" s="87">
        <f>_xlfn.XLOOKUP(C72,TCL_Macroelements!C:C,TCL_Macroelements!AT:AT)*1800</f>
        <v>2008.7999999999997</v>
      </c>
    </row>
    <row r="73" spans="1:6" x14ac:dyDescent="0.3">
      <c r="A73" s="68">
        <v>72</v>
      </c>
      <c r="B73" s="68">
        <f t="shared" si="3"/>
        <v>1072</v>
      </c>
      <c r="C73" s="68">
        <v>50</v>
      </c>
      <c r="D73" s="87">
        <f ca="1">_xlfn.XLOOKUP(A73,'TCL_Nodal masses'!A:A,'TCL_Nodal masses'!C:C,0)</f>
        <v>4431.0664627930664</v>
      </c>
      <c r="E73" s="65">
        <f>_xlfn.XLOOKUP(B73,'TCL_Nodal masses'!A:A,'TCL_Nodal masses'!C:C,0)</f>
        <v>0</v>
      </c>
      <c r="F73" s="87">
        <f>_xlfn.XLOOKUP(C73,TCL_Macroelements!C:C,TCL_Macroelements!AT:AT)*1800</f>
        <v>2008.7999999999997</v>
      </c>
    </row>
    <row r="74" spans="1:6" x14ac:dyDescent="0.3">
      <c r="A74" s="68">
        <v>75</v>
      </c>
      <c r="B74" s="68">
        <f t="shared" si="3"/>
        <v>1075</v>
      </c>
      <c r="C74" s="68">
        <v>51</v>
      </c>
      <c r="D74" s="87">
        <f ca="1">_xlfn.XLOOKUP(A74,'TCL_Nodal masses'!A:A,'TCL_Nodal masses'!C:C,0)</f>
        <v>10008.341298947271</v>
      </c>
      <c r="E74" s="65">
        <f>_xlfn.XLOOKUP(B74,'TCL_Nodal masses'!A:A,'TCL_Nodal masses'!C:C,0)</f>
        <v>0</v>
      </c>
      <c r="F74" s="87">
        <f>_xlfn.XLOOKUP(C74,TCL_Macroelements!C:C,TCL_Macroelements!AT:AT)*1800</f>
        <v>3669.1199999999994</v>
      </c>
    </row>
    <row r="75" spans="1:6" x14ac:dyDescent="0.3">
      <c r="A75" s="68">
        <v>78</v>
      </c>
      <c r="B75" s="68">
        <f t="shared" si="3"/>
        <v>1078</v>
      </c>
      <c r="C75" s="68">
        <v>52</v>
      </c>
      <c r="D75" s="87">
        <f>_xlfn.XLOOKUP(A75,'TCL_Nodal masses'!A:A,'TCL_Nodal masses'!C:C,0)</f>
        <v>2096.6</v>
      </c>
      <c r="E75" s="65">
        <f>_xlfn.XLOOKUP(B75,'TCL_Nodal masses'!A:A,'TCL_Nodal masses'!C:C,0)</f>
        <v>0</v>
      </c>
      <c r="F75" s="87">
        <f>_xlfn.XLOOKUP(C75,TCL_Macroelements!C:C,TCL_Macroelements!AT:AT)*1800</f>
        <v>4762.8</v>
      </c>
    </row>
    <row r="76" spans="1:6" x14ac:dyDescent="0.3">
      <c r="A76" s="29"/>
      <c r="B76" s="29"/>
      <c r="C76" s="68">
        <v>53</v>
      </c>
      <c r="D76" s="49"/>
      <c r="E76" s="25"/>
      <c r="F76" s="87">
        <f>_xlfn.XLOOKUP(C76,TCL_Macroelements!C:C,TCL_Macroelements!AT:AT)*1800</f>
        <v>4939.1999999999989</v>
      </c>
    </row>
    <row r="77" spans="1:6" x14ac:dyDescent="0.3">
      <c r="C77" s="68">
        <v>54</v>
      </c>
      <c r="D77" s="49"/>
      <c r="E77" s="25"/>
      <c r="F77" s="87">
        <f>_xlfn.XLOOKUP(C77,TCL_Macroelements!C:C,TCL_Macroelements!AT:AT)*1800</f>
        <v>4762.8</v>
      </c>
    </row>
    <row r="78" spans="1:6" x14ac:dyDescent="0.3">
      <c r="B78" s="29"/>
      <c r="C78" s="68">
        <v>55</v>
      </c>
      <c r="D78" s="49"/>
      <c r="E78" s="25"/>
      <c r="F78" s="87">
        <f>_xlfn.XLOOKUP(C78,TCL_Macroelements!C:C,TCL_Macroelements!AT:AT)*1800</f>
        <v>3669.1199999999994</v>
      </c>
    </row>
    <row r="79" spans="1:6" x14ac:dyDescent="0.3">
      <c r="B79" s="29"/>
      <c r="C79" s="68">
        <v>56</v>
      </c>
      <c r="D79" s="49"/>
      <c r="E79" s="25"/>
      <c r="F79" s="87">
        <f>_xlfn.XLOOKUP(C79,TCL_Macroelements!C:C,TCL_Macroelements!AT:AT)*1800</f>
        <v>1209.5999999999999</v>
      </c>
    </row>
    <row r="80" spans="1:6" x14ac:dyDescent="0.3">
      <c r="B80" s="29"/>
      <c r="C80" s="68">
        <v>57</v>
      </c>
      <c r="D80" s="49"/>
      <c r="E80" s="25"/>
      <c r="F80" s="87">
        <f>_xlfn.XLOOKUP(C80,TCL_Macroelements!C:C,TCL_Macroelements!AT:AT)*1800</f>
        <v>1209.5999999999999</v>
      </c>
    </row>
    <row r="81" spans="1:8" x14ac:dyDescent="0.3">
      <c r="C81" s="68">
        <v>58</v>
      </c>
      <c r="D81" s="49"/>
      <c r="E81" s="25"/>
      <c r="F81" s="87">
        <f>_xlfn.XLOOKUP(C81,TCL_Macroelements!C:C,TCL_Macroelements!AT:AT)*1800</f>
        <v>1209.5999999999999</v>
      </c>
    </row>
    <row r="82" spans="1:8" x14ac:dyDescent="0.3">
      <c r="C82" s="68">
        <v>59</v>
      </c>
      <c r="D82" s="49"/>
      <c r="E82" s="25"/>
      <c r="F82" s="87">
        <f>_xlfn.XLOOKUP(C82,TCL_Macroelements!C:C,TCL_Macroelements!AT:AT)*1800</f>
        <v>1209.5999999999999</v>
      </c>
    </row>
    <row r="83" spans="1:8" ht="7" customHeight="1" x14ac:dyDescent="0.3">
      <c r="D83" s="25"/>
      <c r="E83" s="25"/>
      <c r="F83" s="25"/>
    </row>
    <row r="84" spans="1:8" ht="14.5" thickBot="1" x14ac:dyDescent="0.35">
      <c r="D84" s="50">
        <f ca="1">SUM(D61:D82)</f>
        <v>108201.05113862963</v>
      </c>
      <c r="E84" s="50">
        <f>SUM(E61:E82)</f>
        <v>0</v>
      </c>
      <c r="F84" s="50">
        <f>SUM(F61:F82)</f>
        <v>58567.32</v>
      </c>
      <c r="G84" s="47">
        <f ca="1">SUM(D84:F84)</f>
        <v>166768.37113862962</v>
      </c>
      <c r="H84" s="46" t="s">
        <v>228</v>
      </c>
    </row>
    <row r="85" spans="1:8" ht="14.5" thickTop="1" x14ac:dyDescent="0.3">
      <c r="E85" s="141" t="s">
        <v>287</v>
      </c>
      <c r="F85" s="141"/>
      <c r="G85" s="48">
        <v>166890</v>
      </c>
      <c r="H85" s="44" t="s">
        <v>228</v>
      </c>
    </row>
    <row r="86" spans="1:8" x14ac:dyDescent="0.3">
      <c r="F86" t="s">
        <v>288</v>
      </c>
      <c r="G86" s="29">
        <f ca="1">G85-G84</f>
        <v>121.62886137038004</v>
      </c>
      <c r="H86" t="s">
        <v>228</v>
      </c>
    </row>
    <row r="87" spans="1:8" x14ac:dyDescent="0.3">
      <c r="F87" t="s">
        <v>292</v>
      </c>
      <c r="G87" s="42">
        <f ca="1">G86/G84</f>
        <v>7.293281126387782E-4</v>
      </c>
    </row>
    <row r="89" spans="1:8" x14ac:dyDescent="0.3">
      <c r="A89" s="74" t="s">
        <v>295</v>
      </c>
      <c r="B89" s="74"/>
      <c r="C89" s="74"/>
      <c r="D89" s="74"/>
      <c r="E89" s="74"/>
      <c r="F89" s="75"/>
      <c r="G89" s="75"/>
      <c r="H89" s="75"/>
    </row>
    <row r="90" spans="1:8" s="86" customFormat="1" x14ac:dyDescent="0.3">
      <c r="A90" s="85" t="s">
        <v>14</v>
      </c>
      <c r="B90" s="86" t="s">
        <v>290</v>
      </c>
      <c r="C90" s="86" t="s">
        <v>285</v>
      </c>
      <c r="D90" s="86" t="s">
        <v>19</v>
      </c>
      <c r="E90" s="86" t="s">
        <v>205</v>
      </c>
      <c r="F90" s="86" t="s">
        <v>291</v>
      </c>
    </row>
    <row r="91" spans="1:8" x14ac:dyDescent="0.3">
      <c r="A91" s="68">
        <v>40</v>
      </c>
      <c r="B91" s="68">
        <f t="shared" ref="B91:B99" si="4">A91+1000</f>
        <v>1040</v>
      </c>
      <c r="C91" s="68">
        <v>60</v>
      </c>
      <c r="D91" s="87">
        <f ca="1">_xlfn.XLOOKUP(A91,'TCL_Nodal masses'!A:A,'TCL_Nodal masses'!C:C,0)</f>
        <v>7194.9474006116197</v>
      </c>
      <c r="E91" s="65">
        <f>_xlfn.XLOOKUP(B91,'TCL_Nodal masses'!A:A,'TCL_Nodal masses'!C:C,0)</f>
        <v>0</v>
      </c>
      <c r="F91" s="87">
        <f>_xlfn.XLOOKUP(C91,TCL_Macroelements!C:C,TCL_Macroelements!AT:AT)*1800</f>
        <v>772.2</v>
      </c>
      <c r="G91" s="19"/>
    </row>
    <row r="92" spans="1:8" x14ac:dyDescent="0.3">
      <c r="A92" s="68">
        <v>41</v>
      </c>
      <c r="B92" s="68">
        <f t="shared" si="4"/>
        <v>1041</v>
      </c>
      <c r="C92" s="68">
        <v>61</v>
      </c>
      <c r="D92" s="87">
        <f ca="1">_xlfn.XLOOKUP(A92,'TCL_Nodal masses'!A:A,'TCL_Nodal masses'!C:C,0)</f>
        <v>14032.653792774272</v>
      </c>
      <c r="E92" s="65">
        <f>_xlfn.XLOOKUP(B92,'TCL_Nodal masses'!A:A,'TCL_Nodal masses'!C:C,0)</f>
        <v>0</v>
      </c>
      <c r="F92" s="87">
        <f>_xlfn.XLOOKUP(C92,TCL_Macroelements!C:C,TCL_Macroelements!AT:AT)*1800</f>
        <v>772.2</v>
      </c>
    </row>
    <row r="93" spans="1:8" x14ac:dyDescent="0.3">
      <c r="A93" s="68">
        <v>42</v>
      </c>
      <c r="B93" s="68">
        <f t="shared" si="4"/>
        <v>1042</v>
      </c>
      <c r="C93" s="68">
        <v>62</v>
      </c>
      <c r="D93" s="87">
        <f>_xlfn.XLOOKUP(A93,'TCL_Nodal masses'!A:A,'TCL_Nodal masses'!C:C,0)</f>
        <v>4435.2</v>
      </c>
      <c r="E93" s="65">
        <f>_xlfn.XLOOKUP(B93,'TCL_Nodal masses'!A:A,'TCL_Nodal masses'!C:C,0)</f>
        <v>0</v>
      </c>
      <c r="F93" s="87">
        <f>_xlfn.XLOOKUP(C93,TCL_Macroelements!C:C,TCL_Macroelements!AT:AT)*1800</f>
        <v>3837.2399999999993</v>
      </c>
    </row>
    <row r="94" spans="1:8" x14ac:dyDescent="0.3">
      <c r="A94" s="68">
        <v>58</v>
      </c>
      <c r="B94" s="68">
        <f t="shared" si="4"/>
        <v>1058</v>
      </c>
      <c r="C94" s="68">
        <v>63</v>
      </c>
      <c r="D94" s="87">
        <f ca="1">_xlfn.XLOOKUP(A94,'TCL_Nodal masses'!A:A,'TCL_Nodal masses'!C:C,0)</f>
        <v>2568.6593218283961</v>
      </c>
      <c r="E94" s="65">
        <f>_xlfn.XLOOKUP(B94,'TCL_Nodal masses'!A:A,'TCL_Nodal masses'!C:C,0)</f>
        <v>0</v>
      </c>
      <c r="F94" s="87">
        <f>_xlfn.XLOOKUP(C94,TCL_Macroelements!C:C,TCL_Macroelements!AT:AT)*1800</f>
        <v>7405.2000000000016</v>
      </c>
    </row>
    <row r="95" spans="1:8" x14ac:dyDescent="0.3">
      <c r="A95" s="68">
        <v>62</v>
      </c>
      <c r="B95" s="68">
        <f t="shared" si="4"/>
        <v>1062</v>
      </c>
      <c r="C95" s="68">
        <v>64</v>
      </c>
      <c r="D95" s="87">
        <f ca="1">_xlfn.XLOOKUP(A95,'TCL_Nodal masses'!A:A,'TCL_Nodal masses'!C:C,0)</f>
        <v>10483.753792774272</v>
      </c>
      <c r="E95" s="65">
        <f>_xlfn.XLOOKUP(B95,'TCL_Nodal masses'!A:A,'TCL_Nodal masses'!C:C,0)</f>
        <v>0</v>
      </c>
      <c r="F95" s="87">
        <f>_xlfn.XLOOKUP(C95,TCL_Macroelements!C:C,TCL_Macroelements!AT:AT)*1800</f>
        <v>3837.2399999999993</v>
      </c>
    </row>
    <row r="96" spans="1:8" x14ac:dyDescent="0.3">
      <c r="A96" s="68">
        <v>66</v>
      </c>
      <c r="B96" s="68">
        <f t="shared" si="4"/>
        <v>1066</v>
      </c>
      <c r="C96" s="68">
        <v>65</v>
      </c>
      <c r="D96" s="87">
        <f>_xlfn.XLOOKUP(A96,'TCL_Nodal masses'!A:A,'TCL_Nodal masses'!C:C,0)</f>
        <v>2298.1999999999998</v>
      </c>
      <c r="E96" s="65">
        <f>_xlfn.XLOOKUP(B96,'TCL_Nodal masses'!A:A,'TCL_Nodal masses'!C:C,0)</f>
        <v>0</v>
      </c>
      <c r="F96" s="87">
        <f>_xlfn.XLOOKUP(C96,TCL_Macroelements!C:C,TCL_Macroelements!AT:AT)*1800</f>
        <v>2008.7999999999997</v>
      </c>
    </row>
    <row r="97" spans="1:11" x14ac:dyDescent="0.3">
      <c r="A97" s="68">
        <v>81</v>
      </c>
      <c r="B97" s="68">
        <f t="shared" si="4"/>
        <v>1081</v>
      </c>
      <c r="C97" s="68">
        <v>66</v>
      </c>
      <c r="D97" s="87">
        <f ca="1">_xlfn.XLOOKUP(A97,'TCL_Nodal masses'!A:A,'TCL_Nodal masses'!C:C,0)</f>
        <v>2547.5143784774145</v>
      </c>
      <c r="E97" s="65">
        <f>_xlfn.XLOOKUP(B97,'TCL_Nodal masses'!A:A,'TCL_Nodal masses'!C:C,0)</f>
        <v>0</v>
      </c>
      <c r="F97" s="87">
        <f>_xlfn.XLOOKUP(C97,TCL_Macroelements!C:C,TCL_Macroelements!AT:AT)*1800</f>
        <v>2008.7999999999997</v>
      </c>
    </row>
    <row r="98" spans="1:11" x14ac:dyDescent="0.3">
      <c r="A98" s="68">
        <v>84</v>
      </c>
      <c r="B98" s="68">
        <f t="shared" si="4"/>
        <v>1084</v>
      </c>
      <c r="C98" s="68">
        <v>67</v>
      </c>
      <c r="D98" s="87">
        <f>_xlfn.XLOOKUP(A98,'TCL_Nodal masses'!A:A,'TCL_Nodal masses'!C:C,0)</f>
        <v>3816.7</v>
      </c>
      <c r="E98" s="65">
        <f>_xlfn.XLOOKUP(B98,'TCL_Nodal masses'!A:A,'TCL_Nodal masses'!C:C,0)</f>
        <v>0</v>
      </c>
      <c r="F98" s="87">
        <f>_xlfn.XLOOKUP(C98,TCL_Macroelements!C:C,TCL_Macroelements!AT:AT)*1800</f>
        <v>4883.7599999999993</v>
      </c>
    </row>
    <row r="99" spans="1:11" x14ac:dyDescent="0.3">
      <c r="A99" s="68">
        <v>87</v>
      </c>
      <c r="B99" s="68">
        <f t="shared" si="4"/>
        <v>1087</v>
      </c>
      <c r="C99" s="68">
        <v>68</v>
      </c>
      <c r="D99" s="87">
        <f>_xlfn.XLOOKUP(A99,'TCL_Nodal masses'!A:A,'TCL_Nodal masses'!C:C,0)</f>
        <v>2298.1999999999998</v>
      </c>
      <c r="E99" s="65">
        <f>_xlfn.XLOOKUP(B99,'TCL_Nodal masses'!A:A,'TCL_Nodal masses'!C:C,0)</f>
        <v>0</v>
      </c>
      <c r="F99" s="87">
        <f>_xlfn.XLOOKUP(C99,TCL_Macroelements!C:C,TCL_Macroelements!AT:AT)*1800</f>
        <v>9424.7999999999993</v>
      </c>
    </row>
    <row r="100" spans="1:11" x14ac:dyDescent="0.3">
      <c r="A100" s="29"/>
      <c r="B100" s="29"/>
      <c r="C100" s="68">
        <v>69</v>
      </c>
      <c r="D100" s="49"/>
      <c r="E100" s="25"/>
      <c r="F100" s="87">
        <f>_xlfn.XLOOKUP(C100,TCL_Macroelements!C:C,TCL_Macroelements!AT:AT)*1800</f>
        <v>4883.7599999999993</v>
      </c>
    </row>
    <row r="101" spans="1:11" x14ac:dyDescent="0.3">
      <c r="A101" s="29"/>
      <c r="B101" s="29"/>
      <c r="C101" s="68">
        <v>70</v>
      </c>
      <c r="D101" s="49"/>
      <c r="E101" s="25"/>
      <c r="F101" s="87">
        <f>_xlfn.XLOOKUP(C101,TCL_Macroelements!C:C,TCL_Macroelements!AT:AT)*1800</f>
        <v>1209.5999999999999</v>
      </c>
    </row>
    <row r="102" spans="1:11" x14ac:dyDescent="0.3">
      <c r="A102" s="29"/>
      <c r="B102" s="29"/>
      <c r="C102" s="68">
        <v>71</v>
      </c>
      <c r="D102" s="49"/>
      <c r="E102" s="25"/>
      <c r="F102" s="87">
        <f>_xlfn.XLOOKUP(C102,TCL_Macroelements!C:C,TCL_Macroelements!AT:AT)*1800</f>
        <v>1209.5999999999999</v>
      </c>
    </row>
    <row r="103" spans="1:11" ht="7" customHeight="1" x14ac:dyDescent="0.3">
      <c r="D103" s="25"/>
      <c r="E103" s="25"/>
      <c r="F103" s="25"/>
    </row>
    <row r="104" spans="1:11" ht="14.5" thickBot="1" x14ac:dyDescent="0.35">
      <c r="D104" s="50">
        <f ca="1">SUM(D91:D102)</f>
        <v>49675.82868646596</v>
      </c>
      <c r="E104" s="50">
        <f>SUM(E91:E102)</f>
        <v>0</v>
      </c>
      <c r="F104" s="50">
        <f>SUM(F91:F102)</f>
        <v>42253.19999999999</v>
      </c>
      <c r="G104" s="47">
        <f ca="1">SUM(D104:F104)</f>
        <v>91929.028686465957</v>
      </c>
      <c r="H104" s="46" t="s">
        <v>228</v>
      </c>
    </row>
    <row r="105" spans="1:11" ht="14.5" thickTop="1" x14ac:dyDescent="0.3">
      <c r="E105" s="141" t="s">
        <v>287</v>
      </c>
      <c r="F105" s="141"/>
      <c r="G105" s="48">
        <v>93989</v>
      </c>
      <c r="H105" s="44" t="s">
        <v>228</v>
      </c>
    </row>
    <row r="106" spans="1:11" x14ac:dyDescent="0.3">
      <c r="F106" t="s">
        <v>288</v>
      </c>
      <c r="G106" s="29">
        <f ca="1">G105-G104</f>
        <v>2059.9713135340426</v>
      </c>
      <c r="H106" t="s">
        <v>228</v>
      </c>
    </row>
    <row r="107" spans="1:11" x14ac:dyDescent="0.3">
      <c r="F107" t="s">
        <v>292</v>
      </c>
      <c r="G107" s="42">
        <f ca="1">G106/G104</f>
        <v>2.2408278896971716E-2</v>
      </c>
    </row>
    <row r="109" spans="1:11" x14ac:dyDescent="0.3">
      <c r="A109" s="74" t="s">
        <v>296</v>
      </c>
      <c r="B109" s="74"/>
      <c r="C109" s="74"/>
      <c r="D109" s="74"/>
      <c r="E109" s="74"/>
      <c r="F109" s="75"/>
      <c r="G109" s="75"/>
      <c r="H109" s="75"/>
      <c r="J109" s="29"/>
      <c r="K109" s="29"/>
    </row>
    <row r="110" spans="1:11" s="86" customFormat="1" x14ac:dyDescent="0.3">
      <c r="A110" s="85" t="s">
        <v>14</v>
      </c>
      <c r="B110" s="86" t="s">
        <v>290</v>
      </c>
      <c r="C110" s="86" t="s">
        <v>285</v>
      </c>
      <c r="D110" s="86" t="s">
        <v>19</v>
      </c>
      <c r="E110" s="86" t="s">
        <v>205</v>
      </c>
      <c r="F110" s="86" t="s">
        <v>291</v>
      </c>
    </row>
    <row r="111" spans="1:11" x14ac:dyDescent="0.3">
      <c r="A111" s="68">
        <v>43</v>
      </c>
      <c r="B111" s="68">
        <f t="shared" ref="B111:B125" si="5">A111+1000</f>
        <v>1043</v>
      </c>
      <c r="C111" s="68">
        <v>72</v>
      </c>
      <c r="D111" s="87">
        <f ca="1">_xlfn.XLOOKUP(A111,'TCL_Nodal masses'!A:A,'TCL_Nodal masses'!C:C,0)</f>
        <v>12977.01620795107</v>
      </c>
      <c r="E111" s="65">
        <f>_xlfn.XLOOKUP(B111,'TCL_Nodal masses'!A:A,'TCL_Nodal masses'!C:C,0)</f>
        <v>0</v>
      </c>
      <c r="F111" s="87">
        <f>_xlfn.XLOOKUP(C111,TCL_Macroelements!C:C,TCL_Macroelements!AT:AT)*1800</f>
        <v>869.40000000000009</v>
      </c>
      <c r="G111" s="19"/>
      <c r="J111" s="29"/>
      <c r="K111" s="29"/>
    </row>
    <row r="112" spans="1:11" x14ac:dyDescent="0.3">
      <c r="A112" s="68">
        <v>44</v>
      </c>
      <c r="B112" s="68">
        <f t="shared" si="5"/>
        <v>1044</v>
      </c>
      <c r="C112" s="68">
        <v>73</v>
      </c>
      <c r="D112" s="87">
        <f ca="1">_xlfn.XLOOKUP(A112,'TCL_Nodal masses'!A:A,'TCL_Nodal masses'!C:C,0)</f>
        <v>6868.4402014844545</v>
      </c>
      <c r="E112" s="65">
        <f>_xlfn.XLOOKUP(B112,'TCL_Nodal masses'!A:A,'TCL_Nodal masses'!C:C,0)</f>
        <v>0</v>
      </c>
      <c r="F112" s="87">
        <f>_xlfn.XLOOKUP(C112,TCL_Macroelements!C:C,TCL_Macroelements!AT:AT)*1800</f>
        <v>1391.04</v>
      </c>
      <c r="J112" s="29"/>
      <c r="K112" s="29"/>
    </row>
    <row r="113" spans="1:11" x14ac:dyDescent="0.3">
      <c r="A113" s="68">
        <v>45</v>
      </c>
      <c r="B113" s="68">
        <f t="shared" si="5"/>
        <v>1045</v>
      </c>
      <c r="C113" s="68">
        <v>74</v>
      </c>
      <c r="D113" s="87">
        <f ca="1">_xlfn.XLOOKUP(A113,'TCL_Nodal masses'!A:A,'TCL_Nodal masses'!C:C,0)</f>
        <v>11057.693476044848</v>
      </c>
      <c r="E113" s="65">
        <f>_xlfn.XLOOKUP(B113,'TCL_Nodal masses'!A:A,'TCL_Nodal masses'!C:C,0)</f>
        <v>0</v>
      </c>
      <c r="F113" s="87">
        <f>_xlfn.XLOOKUP(C113,TCL_Macroelements!C:C,TCL_Macroelements!AT:AT)*1800</f>
        <v>1035.0000000000002</v>
      </c>
      <c r="J113" s="29"/>
      <c r="K113" s="29"/>
    </row>
    <row r="114" spans="1:11" x14ac:dyDescent="0.3">
      <c r="A114" s="68">
        <v>46</v>
      </c>
      <c r="B114" s="68">
        <f t="shared" si="5"/>
        <v>1046</v>
      </c>
      <c r="C114" s="68">
        <v>75</v>
      </c>
      <c r="D114" s="87">
        <f ca="1">_xlfn.XLOOKUP(A114,'TCL_Nodal masses'!A:A,'TCL_Nodal masses'!C:C,0)</f>
        <v>15885.68408712448</v>
      </c>
      <c r="E114" s="65">
        <f>_xlfn.XLOOKUP(B114,'TCL_Nodal masses'!A:A,'TCL_Nodal masses'!C:C,0)</f>
        <v>0</v>
      </c>
      <c r="F114" s="87">
        <f>_xlfn.XLOOKUP(C114,TCL_Macroelements!C:C,TCL_Macroelements!AT:AT)*1800</f>
        <v>4031.9999999999995</v>
      </c>
      <c r="J114" s="29"/>
      <c r="K114" s="29"/>
    </row>
    <row r="115" spans="1:11" x14ac:dyDescent="0.3">
      <c r="A115" s="68">
        <v>47</v>
      </c>
      <c r="B115" s="68">
        <f t="shared" si="5"/>
        <v>1047</v>
      </c>
      <c r="C115" s="68">
        <v>76</v>
      </c>
      <c r="D115" s="87">
        <f ca="1">_xlfn.XLOOKUP(A115,'TCL_Nodal masses'!A:A,'TCL_Nodal masses'!C:C,0)</f>
        <v>11313.300741361985</v>
      </c>
      <c r="E115" s="65">
        <f>_xlfn.XLOOKUP(B115,'TCL_Nodal masses'!A:A,'TCL_Nodal masses'!C:C,0)</f>
        <v>0</v>
      </c>
      <c r="F115" s="87">
        <f>_xlfn.XLOOKUP(C115,TCL_Macroelements!C:C,TCL_Macroelements!AT:AT)*1800</f>
        <v>5011.2000000000007</v>
      </c>
      <c r="J115" s="29"/>
      <c r="K115" s="29"/>
    </row>
    <row r="116" spans="1:11" x14ac:dyDescent="0.3">
      <c r="A116" s="68">
        <v>48</v>
      </c>
      <c r="B116" s="68">
        <f t="shared" si="5"/>
        <v>1048</v>
      </c>
      <c r="C116" s="68">
        <v>77</v>
      </c>
      <c r="D116" s="87">
        <f ca="1">_xlfn.XLOOKUP(A116,'TCL_Nodal masses'!A:A,'TCL_Nodal masses'!C:C,0)</f>
        <v>11262.360689153884</v>
      </c>
      <c r="E116" s="65">
        <f>_xlfn.XLOOKUP(B116,'TCL_Nodal masses'!A:A,'TCL_Nodal masses'!C:C,0)</f>
        <v>0</v>
      </c>
      <c r="F116" s="87">
        <f>_xlfn.XLOOKUP(C116,TCL_Macroelements!C:C,TCL_Macroelements!AT:AT)*1800</f>
        <v>3830.4</v>
      </c>
      <c r="J116" s="29"/>
      <c r="K116" s="29"/>
    </row>
    <row r="117" spans="1:11" x14ac:dyDescent="0.3">
      <c r="A117" s="68">
        <v>49</v>
      </c>
      <c r="B117" s="68">
        <f t="shared" si="5"/>
        <v>1049</v>
      </c>
      <c r="C117" s="68">
        <v>78</v>
      </c>
      <c r="D117" s="87">
        <f>_xlfn.XLOOKUP(A117,'TCL_Nodal masses'!A:A,'TCL_Nodal masses'!C:C,0)</f>
        <v>0</v>
      </c>
      <c r="E117" s="65">
        <f>_xlfn.XLOOKUP(B117,'TCL_Nodal masses'!A:A,'TCL_Nodal masses'!C:C,0)</f>
        <v>0</v>
      </c>
      <c r="F117" s="87">
        <f>_xlfn.XLOOKUP(C117,TCL_Macroelements!C:C,TCL_Macroelements!AT:AT)*1800</f>
        <v>2217.6000000000004</v>
      </c>
      <c r="J117" s="29"/>
      <c r="K117" s="29"/>
    </row>
    <row r="118" spans="1:11" x14ac:dyDescent="0.3">
      <c r="A118" s="68">
        <v>50</v>
      </c>
      <c r="B118" s="68">
        <f t="shared" si="5"/>
        <v>1050</v>
      </c>
      <c r="C118" s="68">
        <v>79</v>
      </c>
      <c r="D118" s="87">
        <f>_xlfn.XLOOKUP(A118,'TCL_Nodal masses'!A:A,'TCL_Nodal masses'!C:C,0)</f>
        <v>0</v>
      </c>
      <c r="E118" s="65">
        <f>_xlfn.XLOOKUP(B118,'TCL_Nodal masses'!A:A,'TCL_Nodal masses'!C:C,0)</f>
        <v>0</v>
      </c>
      <c r="F118" s="87">
        <f>_xlfn.XLOOKUP(C118,TCL_Macroelements!C:C,TCL_Macroelements!AT:AT)*1800</f>
        <v>3888.0000000000005</v>
      </c>
      <c r="J118" s="29"/>
      <c r="K118" s="29"/>
    </row>
    <row r="119" spans="1:11" x14ac:dyDescent="0.3">
      <c r="A119" s="68">
        <v>51</v>
      </c>
      <c r="B119" s="68">
        <f t="shared" si="5"/>
        <v>1051</v>
      </c>
      <c r="C119" s="68">
        <v>80</v>
      </c>
      <c r="D119" s="87">
        <f>_xlfn.XLOOKUP(A119,'TCL_Nodal masses'!A:A,'TCL_Nodal masses'!C:C,0)</f>
        <v>0</v>
      </c>
      <c r="E119" s="65">
        <f>_xlfn.XLOOKUP(B119,'TCL_Nodal masses'!A:A,'TCL_Nodal masses'!C:C,0)</f>
        <v>0</v>
      </c>
      <c r="F119" s="87">
        <f>_xlfn.XLOOKUP(C119,TCL_Macroelements!C:C,TCL_Macroelements!AT:AT)*1800</f>
        <v>1304.1000000000001</v>
      </c>
      <c r="J119" s="29"/>
      <c r="K119" s="29"/>
    </row>
    <row r="120" spans="1:11" x14ac:dyDescent="0.3">
      <c r="A120" s="68">
        <v>71</v>
      </c>
      <c r="B120" s="68">
        <f t="shared" si="5"/>
        <v>1071</v>
      </c>
      <c r="C120" s="68">
        <v>81</v>
      </c>
      <c r="D120" s="87">
        <f ca="1">_xlfn.XLOOKUP(A120,'TCL_Nodal masses'!A:A,'TCL_Nodal masses'!C:C,0)</f>
        <v>6401.6924566768575</v>
      </c>
      <c r="E120" s="65">
        <f>_xlfn.XLOOKUP(B120,'TCL_Nodal masses'!A:A,'TCL_Nodal masses'!C:C,0)</f>
        <v>0</v>
      </c>
      <c r="F120" s="87">
        <f>_xlfn.XLOOKUP(C120,TCL_Macroelements!C:C,TCL_Macroelements!AT:AT)*1800</f>
        <v>2086.5599999999995</v>
      </c>
      <c r="J120" s="29"/>
      <c r="K120" s="29"/>
    </row>
    <row r="121" spans="1:11" x14ac:dyDescent="0.3">
      <c r="A121" s="68">
        <v>74</v>
      </c>
      <c r="B121" s="68">
        <f t="shared" si="5"/>
        <v>1074</v>
      </c>
      <c r="C121" s="68">
        <v>82</v>
      </c>
      <c r="D121" s="87">
        <f ca="1">_xlfn.XLOOKUP(A121,'TCL_Nodal masses'!A:A,'TCL_Nodal masses'!C:C,0)</f>
        <v>9065.8412989472708</v>
      </c>
      <c r="E121" s="65">
        <f>_xlfn.XLOOKUP(B121,'TCL_Nodal masses'!A:A,'TCL_Nodal masses'!C:C,0)</f>
        <v>0</v>
      </c>
      <c r="F121" s="87">
        <f>_xlfn.XLOOKUP(C121,TCL_Macroelements!C:C,TCL_Macroelements!AT:AT)*1800</f>
        <v>1552.4999999999998</v>
      </c>
      <c r="J121" s="29"/>
      <c r="K121" s="29"/>
    </row>
    <row r="122" spans="1:11" x14ac:dyDescent="0.3">
      <c r="A122" s="68">
        <v>77</v>
      </c>
      <c r="B122" s="68">
        <f t="shared" si="5"/>
        <v>1077</v>
      </c>
      <c r="C122" s="68">
        <v>83</v>
      </c>
      <c r="D122" s="87">
        <f>_xlfn.XLOOKUP(A122,'TCL_Nodal masses'!A:A,'TCL_Nodal masses'!C:C,0)</f>
        <v>0</v>
      </c>
      <c r="E122" s="65">
        <f>_xlfn.XLOOKUP(B122,'TCL_Nodal masses'!A:A,'TCL_Nodal masses'!C:C,0)</f>
        <v>0</v>
      </c>
      <c r="F122" s="87">
        <f>_xlfn.XLOOKUP(C122,TCL_Macroelements!C:C,TCL_Macroelements!AT:AT)*1800</f>
        <v>7055.9999999999991</v>
      </c>
      <c r="J122" s="29"/>
      <c r="K122" s="29"/>
    </row>
    <row r="123" spans="1:11" x14ac:dyDescent="0.3">
      <c r="A123" s="68">
        <v>88</v>
      </c>
      <c r="B123" s="68">
        <f t="shared" si="5"/>
        <v>1088</v>
      </c>
      <c r="C123" s="68">
        <v>84</v>
      </c>
      <c r="D123" s="87">
        <f ca="1">_xlfn.XLOOKUP(A123,'TCL_Nodal masses'!A:A,'TCL_Nodal masses'!C:C,0)</f>
        <v>7142.9020387359833</v>
      </c>
      <c r="E123" s="65">
        <f>_xlfn.XLOOKUP(B123,'TCL_Nodal masses'!A:A,'TCL_Nodal masses'!C:C,0)</f>
        <v>0</v>
      </c>
      <c r="F123" s="87">
        <f>_xlfn.XLOOKUP(C123,TCL_Macroelements!C:C,TCL_Macroelements!AT:AT)*1800</f>
        <v>8769.6</v>
      </c>
      <c r="J123" s="29"/>
      <c r="K123" s="29"/>
    </row>
    <row r="124" spans="1:11" x14ac:dyDescent="0.3">
      <c r="A124" s="68">
        <v>89</v>
      </c>
      <c r="B124" s="68">
        <f t="shared" si="5"/>
        <v>1089</v>
      </c>
      <c r="C124" s="68">
        <v>85</v>
      </c>
      <c r="D124" s="87">
        <f ca="1">_xlfn.XLOOKUP(A124,'TCL_Nodal masses'!A:A,'TCL_Nodal masses'!C:C,0)</f>
        <v>9381.6649765081002</v>
      </c>
      <c r="E124" s="65">
        <f>_xlfn.XLOOKUP(B124,'TCL_Nodal masses'!A:A,'TCL_Nodal masses'!C:C,0)</f>
        <v>0</v>
      </c>
      <c r="F124" s="87">
        <f>_xlfn.XLOOKUP(C124,TCL_Macroelements!C:C,TCL_Macroelements!AT:AT)*1800</f>
        <v>6703.2</v>
      </c>
      <c r="J124" s="29"/>
    </row>
    <row r="125" spans="1:11" x14ac:dyDescent="0.3">
      <c r="A125" s="68">
        <v>90</v>
      </c>
      <c r="B125" s="68">
        <f t="shared" si="5"/>
        <v>1090</v>
      </c>
      <c r="C125" s="68">
        <v>86</v>
      </c>
      <c r="D125" s="87">
        <f>_xlfn.XLOOKUP(A125,'TCL_Nodal masses'!A:A,'TCL_Nodal masses'!C:C,0)</f>
        <v>0</v>
      </c>
      <c r="E125" s="65">
        <f>_xlfn.XLOOKUP(B125,'TCL_Nodal masses'!A:A,'TCL_Nodal masses'!C:C,0)</f>
        <v>0</v>
      </c>
      <c r="F125" s="87">
        <f>_xlfn.XLOOKUP(C125,TCL_Macroelements!C:C,TCL_Macroelements!AT:AT)*1800</f>
        <v>3880.7999999999993</v>
      </c>
    </row>
    <row r="126" spans="1:11" x14ac:dyDescent="0.3">
      <c r="A126" s="29"/>
      <c r="B126" s="29"/>
      <c r="C126" s="68">
        <v>87</v>
      </c>
      <c r="D126" s="49"/>
      <c r="E126" s="25"/>
      <c r="F126" s="87">
        <f>_xlfn.XLOOKUP(C126,TCL_Macroelements!C:C,TCL_Macroelements!AT:AT)*1800</f>
        <v>6804</v>
      </c>
    </row>
    <row r="127" spans="1:11" ht="7" customHeight="1" x14ac:dyDescent="0.3">
      <c r="D127" s="25"/>
      <c r="E127" s="25"/>
      <c r="F127" s="25"/>
    </row>
    <row r="128" spans="1:11" ht="14.5" thickBot="1" x14ac:dyDescent="0.35">
      <c r="D128" s="50">
        <f ca="1">SUM(D111:D126)</f>
        <v>101356.59617398892</v>
      </c>
      <c r="E128" s="50">
        <f>SUM(E111:E126)</f>
        <v>0</v>
      </c>
      <c r="F128" s="50">
        <f>SUM(F111:F126)</f>
        <v>60431.399999999994</v>
      </c>
      <c r="G128" s="47">
        <f ca="1">SUM(D128:F128)</f>
        <v>161787.99617398891</v>
      </c>
      <c r="H128" s="46" t="s">
        <v>228</v>
      </c>
    </row>
    <row r="129" spans="1:8" ht="14.5" thickTop="1" x14ac:dyDescent="0.3">
      <c r="E129" s="141" t="s">
        <v>287</v>
      </c>
      <c r="F129" s="141"/>
      <c r="G129" s="48">
        <v>143300</v>
      </c>
      <c r="H129" s="44" t="s">
        <v>228</v>
      </c>
    </row>
    <row r="130" spans="1:8" x14ac:dyDescent="0.3">
      <c r="F130" t="s">
        <v>288</v>
      </c>
      <c r="G130" s="29">
        <f ca="1">G129-G128</f>
        <v>-18487.996173988911</v>
      </c>
      <c r="H130" t="s">
        <v>228</v>
      </c>
    </row>
    <row r="131" spans="1:8" x14ac:dyDescent="0.3">
      <c r="F131" t="s">
        <v>292</v>
      </c>
      <c r="G131" s="42">
        <f ca="1">G130/G128</f>
        <v>-0.11427297828762698</v>
      </c>
    </row>
    <row r="133" spans="1:8" x14ac:dyDescent="0.3">
      <c r="A133" s="74" t="s">
        <v>297</v>
      </c>
      <c r="B133" s="74"/>
      <c r="C133" s="74"/>
      <c r="D133" s="74"/>
      <c r="E133" s="74"/>
      <c r="F133" s="75"/>
      <c r="G133" s="75"/>
      <c r="H133" s="75"/>
    </row>
    <row r="134" spans="1:8" s="86" customFormat="1" x14ac:dyDescent="0.3">
      <c r="A134" s="85" t="s">
        <v>14</v>
      </c>
      <c r="B134" s="86" t="s">
        <v>290</v>
      </c>
      <c r="C134" s="86" t="s">
        <v>285</v>
      </c>
      <c r="D134" s="86" t="s">
        <v>19</v>
      </c>
      <c r="E134" s="86" t="s">
        <v>205</v>
      </c>
      <c r="F134" s="86" t="s">
        <v>291</v>
      </c>
    </row>
    <row r="135" spans="1:8" x14ac:dyDescent="0.3">
      <c r="A135" s="68">
        <v>59</v>
      </c>
      <c r="B135" s="68">
        <f t="shared" ref="B135:B144" si="6">A135+1000</f>
        <v>1059</v>
      </c>
      <c r="C135" s="68">
        <v>88</v>
      </c>
      <c r="D135" s="87">
        <f>_xlfn.XLOOKUP(A135,'TCL_Nodal masses'!A:A,'TCL_Nodal masses'!C:C,0)</f>
        <v>505.1</v>
      </c>
      <c r="E135" s="65">
        <f>_xlfn.XLOOKUP(B135,'TCL_Nodal masses'!A:A,'TCL_Nodal masses'!C:C,0)</f>
        <v>0</v>
      </c>
      <c r="F135" s="87">
        <f>_xlfn.XLOOKUP(C135,TCL_Macroelements!C:C,TCL_Macroelements!AT:AT)*1800</f>
        <v>1043.28</v>
      </c>
      <c r="G135" s="19"/>
    </row>
    <row r="136" spans="1:8" x14ac:dyDescent="0.3">
      <c r="A136" s="68">
        <v>63</v>
      </c>
      <c r="B136" s="68">
        <f t="shared" si="6"/>
        <v>1063</v>
      </c>
      <c r="C136" s="68">
        <v>89</v>
      </c>
      <c r="D136" s="87">
        <f ca="1">_xlfn.XLOOKUP(A136,'TCL_Nodal masses'!A:A,'TCL_Nodal masses'!C:C,0)</f>
        <v>7240.7537927742724</v>
      </c>
      <c r="E136" s="65">
        <f>_xlfn.XLOOKUP(B136,'TCL_Nodal masses'!A:A,'TCL_Nodal masses'!C:C,0)</f>
        <v>0</v>
      </c>
      <c r="F136" s="87">
        <f>_xlfn.XLOOKUP(C136,TCL_Macroelements!C:C,TCL_Macroelements!AT:AT)*1800</f>
        <v>1159.2</v>
      </c>
    </row>
    <row r="137" spans="1:8" x14ac:dyDescent="0.3">
      <c r="A137" s="68">
        <v>67</v>
      </c>
      <c r="B137" s="68">
        <f t="shared" si="6"/>
        <v>1067</v>
      </c>
      <c r="C137" s="68">
        <v>90</v>
      </c>
      <c r="D137" s="87">
        <f>_xlfn.XLOOKUP(A137,'TCL_Nodal masses'!A:A,'TCL_Nodal masses'!C:C,0)</f>
        <v>0</v>
      </c>
      <c r="E137" s="65">
        <f>_xlfn.XLOOKUP(B137,'TCL_Nodal masses'!A:A,'TCL_Nodal masses'!C:C,0)</f>
        <v>0</v>
      </c>
      <c r="F137" s="87">
        <f>_xlfn.XLOOKUP(C137,TCL_Macroelements!C:C,TCL_Macroelements!AT:AT)*1800</f>
        <v>864</v>
      </c>
    </row>
    <row r="138" spans="1:8" x14ac:dyDescent="0.3">
      <c r="A138" s="68">
        <v>80</v>
      </c>
      <c r="B138" s="68">
        <f t="shared" si="6"/>
        <v>1080</v>
      </c>
      <c r="C138" s="68">
        <v>91</v>
      </c>
      <c r="D138" s="87">
        <f>_xlfn.XLOOKUP(A138,'TCL_Nodal masses'!A:A,'TCL_Nodal masses'!C:C,0)</f>
        <v>1846.4</v>
      </c>
      <c r="E138" s="65">
        <f>_xlfn.XLOOKUP(B138,'TCL_Nodal masses'!A:A,'TCL_Nodal masses'!C:C,0)</f>
        <v>0</v>
      </c>
      <c r="F138" s="87">
        <f>_xlfn.XLOOKUP(C138,TCL_Macroelements!C:C,TCL_Macroelements!AT:AT)*1800</f>
        <v>8438.4000000000015</v>
      </c>
    </row>
    <row r="139" spans="1:8" x14ac:dyDescent="0.3">
      <c r="A139" s="68">
        <v>83</v>
      </c>
      <c r="B139" s="68">
        <f t="shared" si="6"/>
        <v>1083</v>
      </c>
      <c r="C139" s="68">
        <v>92</v>
      </c>
      <c r="D139" s="87">
        <f>_xlfn.XLOOKUP(A139,'TCL_Nodal masses'!A:A,'TCL_Nodal masses'!C:C,0)</f>
        <v>1906.7</v>
      </c>
      <c r="E139" s="65">
        <f>_xlfn.XLOOKUP(B139,'TCL_Nodal masses'!A:A,'TCL_Nodal masses'!C:C,0)</f>
        <v>0</v>
      </c>
      <c r="F139" s="87">
        <f>_xlfn.XLOOKUP(C139,TCL_Macroelements!C:C,TCL_Macroelements!AT:AT)*1800</f>
        <v>3211.2000000000003</v>
      </c>
    </row>
    <row r="140" spans="1:8" x14ac:dyDescent="0.3">
      <c r="A140" s="68">
        <v>86</v>
      </c>
      <c r="B140" s="68">
        <f t="shared" si="6"/>
        <v>1086</v>
      </c>
      <c r="C140" s="68">
        <v>93</v>
      </c>
      <c r="D140" s="87">
        <f>_xlfn.XLOOKUP(A140,'TCL_Nodal masses'!A:A,'TCL_Nodal masses'!C:C,0)</f>
        <v>0</v>
      </c>
      <c r="E140" s="65">
        <f>_xlfn.XLOOKUP(B140,'TCL_Nodal masses'!A:A,'TCL_Nodal masses'!C:C,0)</f>
        <v>0</v>
      </c>
      <c r="F140" s="87">
        <f>_xlfn.XLOOKUP(C140,TCL_Macroelements!C:C,TCL_Macroelements!AT:AT)*1800</f>
        <v>969.56999999999994</v>
      </c>
    </row>
    <row r="141" spans="1:8" x14ac:dyDescent="0.3">
      <c r="A141" s="68">
        <v>91</v>
      </c>
      <c r="B141" s="68">
        <f t="shared" si="6"/>
        <v>1091</v>
      </c>
      <c r="C141" s="68">
        <v>94</v>
      </c>
      <c r="D141" s="87">
        <f>_xlfn.XLOOKUP(A141,'TCL_Nodal masses'!A:A,'TCL_Nodal masses'!C:C,0)</f>
        <v>8140.1733944954121</v>
      </c>
      <c r="E141" s="65">
        <f>_xlfn.XLOOKUP(B141,'TCL_Nodal masses'!A:A,'TCL_Nodal masses'!C:C,0)</f>
        <v>0</v>
      </c>
      <c r="F141" s="87">
        <f>_xlfn.XLOOKUP(C141,TCL_Macroelements!C:C,TCL_Macroelements!AT:AT)*1800</f>
        <v>1077.3</v>
      </c>
    </row>
    <row r="142" spans="1:8" x14ac:dyDescent="0.3">
      <c r="A142" s="68">
        <v>94</v>
      </c>
      <c r="B142" s="68">
        <f t="shared" si="6"/>
        <v>1094</v>
      </c>
      <c r="C142" s="68">
        <v>95</v>
      </c>
      <c r="D142" s="87">
        <f ca="1">_xlfn.XLOOKUP(A142,'TCL_Nodal masses'!A:A,'TCL_Nodal masses'!C:C,0)</f>
        <v>11677.353792774273</v>
      </c>
      <c r="E142" s="65">
        <f>_xlfn.XLOOKUP(B142,'TCL_Nodal masses'!A:A,'TCL_Nodal masses'!C:C,0)</f>
        <v>0</v>
      </c>
      <c r="F142" s="87">
        <f>_xlfn.XLOOKUP(C142,TCL_Macroelements!C:C,TCL_Macroelements!AT:AT)*1800</f>
        <v>1080</v>
      </c>
    </row>
    <row r="143" spans="1:8" x14ac:dyDescent="0.3">
      <c r="A143" s="68">
        <v>97</v>
      </c>
      <c r="B143" s="68">
        <f t="shared" si="6"/>
        <v>1097</v>
      </c>
      <c r="C143" s="68">
        <v>96</v>
      </c>
      <c r="D143" s="87">
        <f>_xlfn.XLOOKUP(A143,'TCL_Nodal masses'!A:A,'TCL_Nodal masses'!C:C,0)</f>
        <v>0</v>
      </c>
      <c r="E143" s="65">
        <f>_xlfn.XLOOKUP(B143,'TCL_Nodal masses'!A:A,'TCL_Nodal masses'!C:C,0)</f>
        <v>0</v>
      </c>
      <c r="F143" s="87">
        <f>_xlfn.XLOOKUP(C143,TCL_Macroelements!C:C,TCL_Macroelements!AT:AT)*1800</f>
        <v>10548</v>
      </c>
    </row>
    <row r="144" spans="1:8" x14ac:dyDescent="0.3">
      <c r="A144" s="29"/>
      <c r="B144" s="68">
        <f t="shared" si="6"/>
        <v>1000</v>
      </c>
      <c r="C144" s="68">
        <v>97</v>
      </c>
      <c r="D144" s="49"/>
      <c r="E144" s="65">
        <f>_xlfn.XLOOKUP(B144,'TCL_Nodal masses'!A:A,'TCL_Nodal masses'!C:C,0)</f>
        <v>0</v>
      </c>
      <c r="F144" s="87">
        <f>_xlfn.XLOOKUP(C144,TCL_Macroelements!C:C,TCL_Macroelements!AT:AT)*1800</f>
        <v>4014</v>
      </c>
    </row>
    <row r="145" spans="1:8" ht="7" customHeight="1" x14ac:dyDescent="0.3">
      <c r="D145" s="25"/>
      <c r="E145" s="25"/>
      <c r="F145" s="25"/>
    </row>
    <row r="146" spans="1:8" ht="14.5" thickBot="1" x14ac:dyDescent="0.35">
      <c r="D146" s="50">
        <f ca="1">SUM(D135:D144)</f>
        <v>31316.480980043958</v>
      </c>
      <c r="E146" s="50">
        <f>SUM(E135:E144)</f>
        <v>0</v>
      </c>
      <c r="F146" s="50">
        <f>SUM(F135:F144)</f>
        <v>32404.95</v>
      </c>
      <c r="G146" s="47">
        <f ca="1">SUM(D146:F146)</f>
        <v>63721.430980043959</v>
      </c>
      <c r="H146" s="46" t="s">
        <v>228</v>
      </c>
    </row>
    <row r="147" spans="1:8" ht="14.5" thickTop="1" x14ac:dyDescent="0.3">
      <c r="E147" s="141" t="s">
        <v>287</v>
      </c>
      <c r="F147" s="141"/>
      <c r="G147" s="48">
        <v>62873</v>
      </c>
      <c r="H147" s="44" t="s">
        <v>228</v>
      </c>
    </row>
    <row r="148" spans="1:8" x14ac:dyDescent="0.3">
      <c r="F148" t="s">
        <v>288</v>
      </c>
      <c r="G148" s="29">
        <f ca="1">G147-G146</f>
        <v>-848.4309800439587</v>
      </c>
      <c r="H148" t="s">
        <v>228</v>
      </c>
    </row>
    <row r="149" spans="1:8" x14ac:dyDescent="0.3">
      <c r="F149" t="s">
        <v>292</v>
      </c>
      <c r="G149" s="42">
        <f ca="1">G148/G146</f>
        <v>-1.3314688119757813E-2</v>
      </c>
    </row>
    <row r="151" spans="1:8" x14ac:dyDescent="0.3">
      <c r="A151" s="74" t="s">
        <v>298</v>
      </c>
      <c r="B151" s="74"/>
      <c r="C151" s="74"/>
      <c r="D151" s="74"/>
      <c r="E151" s="74"/>
      <c r="F151" s="75"/>
      <c r="G151" s="75"/>
      <c r="H151" s="75"/>
    </row>
    <row r="152" spans="1:8" s="86" customFormat="1" x14ac:dyDescent="0.3">
      <c r="A152" s="85" t="s">
        <v>14</v>
      </c>
      <c r="B152" s="86" t="s">
        <v>290</v>
      </c>
      <c r="C152" s="86" t="s">
        <v>285</v>
      </c>
      <c r="D152" s="86" t="s">
        <v>19</v>
      </c>
      <c r="E152" s="86" t="s">
        <v>205</v>
      </c>
      <c r="F152" s="86" t="s">
        <v>291</v>
      </c>
    </row>
    <row r="153" spans="1:8" x14ac:dyDescent="0.3">
      <c r="A153" s="68">
        <v>52</v>
      </c>
      <c r="B153" s="68">
        <f t="shared" ref="B153:B166" si="7">A153+1000</f>
        <v>1052</v>
      </c>
      <c r="C153" s="68">
        <v>98</v>
      </c>
      <c r="D153" s="87">
        <f>_xlfn.XLOOKUP(A153,'TCL_Nodal masses'!A:A,'TCL_Nodal masses'!C:C,0)</f>
        <v>952.2</v>
      </c>
      <c r="E153" s="65">
        <f>_xlfn.XLOOKUP(B153,'TCL_Nodal masses'!A:A,'TCL_Nodal masses'!C:C,0)</f>
        <v>0</v>
      </c>
      <c r="F153" s="87">
        <f>_xlfn.XLOOKUP(C153,TCL_Macroelements!C:C,TCL_Macroelements!AT:AT)*1800</f>
        <v>745.19999999999993</v>
      </c>
      <c r="G153" s="19"/>
    </row>
    <row r="154" spans="1:8" x14ac:dyDescent="0.3">
      <c r="A154" s="68">
        <v>53</v>
      </c>
      <c r="B154" s="68">
        <f t="shared" si="7"/>
        <v>1053</v>
      </c>
      <c r="C154" s="68">
        <v>99</v>
      </c>
      <c r="D154" s="87">
        <f ca="1">_xlfn.XLOOKUP(A154,'TCL_Nodal masses'!A:A,'TCL_Nodal masses'!C:C,0)</f>
        <v>6785.7080739773219</v>
      </c>
      <c r="E154" s="65">
        <f>_xlfn.XLOOKUP(B154,'TCL_Nodal masses'!A:A,'TCL_Nodal masses'!C:C,0)</f>
        <v>0</v>
      </c>
      <c r="F154" s="87">
        <f>_xlfn.XLOOKUP(C154,TCL_Macroelements!C:C,TCL_Macroelements!AT:AT)*1800</f>
        <v>1117.8</v>
      </c>
    </row>
    <row r="155" spans="1:8" x14ac:dyDescent="0.3">
      <c r="A155" s="68">
        <v>54</v>
      </c>
      <c r="B155" s="68">
        <f t="shared" si="7"/>
        <v>1054</v>
      </c>
      <c r="C155" s="68">
        <v>100</v>
      </c>
      <c r="D155" s="87">
        <f>_xlfn.XLOOKUP(A155,'TCL_Nodal masses'!A:A,'TCL_Nodal masses'!C:C,0)</f>
        <v>0</v>
      </c>
      <c r="E155" s="65">
        <f>_xlfn.XLOOKUP(B155,'TCL_Nodal masses'!A:A,'TCL_Nodal masses'!C:C,0)</f>
        <v>0</v>
      </c>
      <c r="F155" s="87">
        <f>_xlfn.XLOOKUP(C155,TCL_Macroelements!C:C,TCL_Macroelements!AT:AT)*1800</f>
        <v>1159.2</v>
      </c>
    </row>
    <row r="156" spans="1:8" x14ac:dyDescent="0.3">
      <c r="A156" s="68">
        <v>60</v>
      </c>
      <c r="B156" s="68">
        <f t="shared" si="7"/>
        <v>1060</v>
      </c>
      <c r="C156" s="68">
        <v>101</v>
      </c>
      <c r="D156" s="87">
        <f>_xlfn.XLOOKUP(A156,'TCL_Nodal masses'!A:A,'TCL_Nodal masses'!C:C,0)</f>
        <v>356</v>
      </c>
      <c r="E156" s="65">
        <f>_xlfn.XLOOKUP(B156,'TCL_Nodal masses'!A:A,'TCL_Nodal masses'!C:C,0)</f>
        <v>0</v>
      </c>
      <c r="F156" s="87">
        <f>_xlfn.XLOOKUP(C156,TCL_Macroelements!C:C,TCL_Macroelements!AT:AT)*1800</f>
        <v>619.20000000000005</v>
      </c>
    </row>
    <row r="157" spans="1:8" x14ac:dyDescent="0.3">
      <c r="A157" s="68">
        <v>64</v>
      </c>
      <c r="B157" s="68">
        <f t="shared" si="7"/>
        <v>1064</v>
      </c>
      <c r="C157" s="68">
        <v>102</v>
      </c>
      <c r="D157" s="87">
        <f>_xlfn.XLOOKUP(A157,'TCL_Nodal masses'!A:A,'TCL_Nodal masses'!C:C,0)</f>
        <v>367.6</v>
      </c>
      <c r="E157" s="65">
        <f>_xlfn.XLOOKUP(B157,'TCL_Nodal masses'!A:A,'TCL_Nodal masses'!C:C,0)</f>
        <v>0</v>
      </c>
      <c r="F157" s="87">
        <f>_xlfn.XLOOKUP(C157,TCL_Macroelements!C:C,TCL_Macroelements!AT:AT)*1800</f>
        <v>1655.9999999999998</v>
      </c>
    </row>
    <row r="158" spans="1:8" x14ac:dyDescent="0.3">
      <c r="A158" s="68">
        <v>68</v>
      </c>
      <c r="B158" s="68">
        <f t="shared" si="7"/>
        <v>1068</v>
      </c>
      <c r="C158" s="68">
        <v>103</v>
      </c>
      <c r="D158" s="87">
        <f>_xlfn.XLOOKUP(A158,'TCL_Nodal masses'!A:A,'TCL_Nodal masses'!C:C,0)</f>
        <v>0</v>
      </c>
      <c r="E158" s="65">
        <f>_xlfn.XLOOKUP(B158,'TCL_Nodal masses'!A:A,'TCL_Nodal masses'!C:C,0)</f>
        <v>0</v>
      </c>
      <c r="F158" s="87">
        <f>_xlfn.XLOOKUP(C158,TCL_Macroelements!C:C,TCL_Macroelements!AT:AT)*1800</f>
        <v>5616</v>
      </c>
    </row>
    <row r="159" spans="1:8" x14ac:dyDescent="0.3">
      <c r="A159" s="68">
        <v>79</v>
      </c>
      <c r="B159" s="68">
        <f t="shared" si="7"/>
        <v>1079</v>
      </c>
      <c r="C159" s="68">
        <v>104</v>
      </c>
      <c r="D159" s="87">
        <f>_xlfn.XLOOKUP(A159,'TCL_Nodal masses'!A:A,'TCL_Nodal masses'!C:C,0)</f>
        <v>1846.4</v>
      </c>
      <c r="E159" s="65">
        <f>_xlfn.XLOOKUP(B159,'TCL_Nodal masses'!A:A,'TCL_Nodal masses'!C:C,0)</f>
        <v>0</v>
      </c>
      <c r="F159" s="87">
        <f>_xlfn.XLOOKUP(C159,TCL_Macroelements!C:C,TCL_Macroelements!AT:AT)*1800</f>
        <v>3211.2000000000003</v>
      </c>
    </row>
    <row r="160" spans="1:8" x14ac:dyDescent="0.3">
      <c r="A160" s="68">
        <v>82</v>
      </c>
      <c r="B160" s="68">
        <f t="shared" si="7"/>
        <v>1082</v>
      </c>
      <c r="C160" s="68">
        <v>105</v>
      </c>
      <c r="D160" s="87">
        <f>_xlfn.XLOOKUP(A160,'TCL_Nodal masses'!A:A,'TCL_Nodal masses'!C:C,0)</f>
        <v>1906.7</v>
      </c>
      <c r="E160" s="65">
        <f>_xlfn.XLOOKUP(B160,'TCL_Nodal masses'!A:A,'TCL_Nodal masses'!C:C,0)</f>
        <v>0</v>
      </c>
      <c r="F160" s="87">
        <f>_xlfn.XLOOKUP(C160,TCL_Macroelements!C:C,TCL_Macroelements!AT:AT)*1800</f>
        <v>692.55</v>
      </c>
    </row>
    <row r="161" spans="1:8" x14ac:dyDescent="0.3">
      <c r="A161" s="68">
        <v>85</v>
      </c>
      <c r="B161" s="68">
        <f t="shared" si="7"/>
        <v>1085</v>
      </c>
      <c r="C161" s="68">
        <v>106</v>
      </c>
      <c r="D161" s="87">
        <f>_xlfn.XLOOKUP(A161,'TCL_Nodal masses'!A:A,'TCL_Nodal masses'!C:C,0)</f>
        <v>0</v>
      </c>
      <c r="E161" s="65">
        <f>_xlfn.XLOOKUP(B161,'TCL_Nodal masses'!A:A,'TCL_Nodal masses'!C:C,0)</f>
        <v>0</v>
      </c>
      <c r="F161" s="87">
        <f>_xlfn.XLOOKUP(C161,TCL_Macroelements!C:C,TCL_Macroelements!AT:AT)*1800</f>
        <v>1038.825</v>
      </c>
    </row>
    <row r="162" spans="1:8" x14ac:dyDescent="0.3">
      <c r="A162" s="68">
        <v>93</v>
      </c>
      <c r="B162" s="68">
        <f t="shared" si="7"/>
        <v>1093</v>
      </c>
      <c r="C162" s="68">
        <v>107</v>
      </c>
      <c r="D162" s="87">
        <f>_xlfn.XLOOKUP(A162,'TCL_Nodal masses'!A:A,'TCL_Nodal masses'!C:C,0)</f>
        <v>6517.2733944954125</v>
      </c>
      <c r="E162" s="65">
        <f>_xlfn.XLOOKUP(B162,'TCL_Nodal masses'!A:A,'TCL_Nodal masses'!C:C,0)</f>
        <v>0</v>
      </c>
      <c r="F162" s="87">
        <f>_xlfn.XLOOKUP(C162,TCL_Macroelements!C:C,TCL_Macroelements!AT:AT)*1800</f>
        <v>1077.3</v>
      </c>
    </row>
    <row r="163" spans="1:8" x14ac:dyDescent="0.3">
      <c r="A163" s="68">
        <v>96</v>
      </c>
      <c r="B163" s="68">
        <f t="shared" si="7"/>
        <v>1096</v>
      </c>
      <c r="C163" s="68">
        <v>108</v>
      </c>
      <c r="D163" s="87">
        <f ca="1">_xlfn.XLOOKUP(A163,'TCL_Nodal masses'!A:A,'TCL_Nodal masses'!C:C,0)</f>
        <v>8620.2892988496351</v>
      </c>
      <c r="E163" s="65">
        <f>_xlfn.XLOOKUP(B163,'TCL_Nodal masses'!A:A,'TCL_Nodal masses'!C:C,0)</f>
        <v>0</v>
      </c>
      <c r="F163" s="87">
        <f>_xlfn.XLOOKUP(C163,TCL_Macroelements!C:C,TCL_Macroelements!AT:AT)*1800</f>
        <v>774</v>
      </c>
    </row>
    <row r="164" spans="1:8" x14ac:dyDescent="0.3">
      <c r="A164" s="68">
        <v>99</v>
      </c>
      <c r="B164" s="68">
        <f t="shared" si="7"/>
        <v>1099</v>
      </c>
      <c r="C164" s="68">
        <v>109</v>
      </c>
      <c r="D164" s="87">
        <f>_xlfn.XLOOKUP(A164,'TCL_Nodal masses'!A:A,'TCL_Nodal masses'!C:C,0)</f>
        <v>0</v>
      </c>
      <c r="E164" s="65">
        <f>_xlfn.XLOOKUP(B164,'TCL_Nodal masses'!A:A,'TCL_Nodal masses'!C:C,0)</f>
        <v>0</v>
      </c>
      <c r="F164" s="87">
        <f>_xlfn.XLOOKUP(C164,TCL_Macroelements!C:C,TCL_Macroelements!AT:AT)*1800</f>
        <v>2070</v>
      </c>
    </row>
    <row r="165" spans="1:8" x14ac:dyDescent="0.3">
      <c r="A165" s="68"/>
      <c r="B165" s="68">
        <f t="shared" si="7"/>
        <v>1000</v>
      </c>
      <c r="C165" s="68">
        <v>110</v>
      </c>
      <c r="D165" s="87">
        <f>_xlfn.XLOOKUP(A165,'TCL_Nodal masses'!A:A,'TCL_Nodal masses'!C:C,0)</f>
        <v>0</v>
      </c>
      <c r="E165" s="65">
        <f>_xlfn.XLOOKUP(B165,'TCL_Nodal masses'!A:A,'TCL_Nodal masses'!C:C,0)</f>
        <v>0</v>
      </c>
      <c r="F165" s="87">
        <f>_xlfn.XLOOKUP(C165,TCL_Macroelements!C:C,TCL_Macroelements!AT:AT)*1800</f>
        <v>7020</v>
      </c>
    </row>
    <row r="166" spans="1:8" x14ac:dyDescent="0.3">
      <c r="A166" s="29"/>
      <c r="B166" s="68">
        <f t="shared" si="7"/>
        <v>1000</v>
      </c>
      <c r="C166" s="68">
        <v>111</v>
      </c>
      <c r="D166" s="49"/>
      <c r="E166" s="65">
        <f>_xlfn.XLOOKUP(B166,'TCL_Nodal masses'!A:A,'TCL_Nodal masses'!C:C,0)</f>
        <v>0</v>
      </c>
      <c r="F166" s="87">
        <f>_xlfn.XLOOKUP(C166,TCL_Macroelements!C:C,TCL_Macroelements!AT:AT)*1800</f>
        <v>4014</v>
      </c>
    </row>
    <row r="167" spans="1:8" ht="7" customHeight="1" x14ac:dyDescent="0.3">
      <c r="D167" s="25"/>
      <c r="E167" s="25"/>
      <c r="F167" s="25"/>
    </row>
    <row r="168" spans="1:8" ht="14.5" thickBot="1" x14ac:dyDescent="0.35">
      <c r="D168" s="50">
        <f ca="1">SUM(D153:D166)</f>
        <v>27352.170767322368</v>
      </c>
      <c r="E168" s="50">
        <f>SUM(E153:E166)</f>
        <v>0</v>
      </c>
      <c r="F168" s="50">
        <f>SUM(F153:F166)</f>
        <v>30811.275000000001</v>
      </c>
      <c r="G168" s="47">
        <f ca="1">SUM(D168:F168)</f>
        <v>58163.445767322366</v>
      </c>
      <c r="H168" s="46" t="s">
        <v>228</v>
      </c>
    </row>
    <row r="169" spans="1:8" ht="14.5" thickTop="1" x14ac:dyDescent="0.3">
      <c r="E169" s="141" t="s">
        <v>287</v>
      </c>
      <c r="F169" s="141"/>
      <c r="G169" s="48">
        <v>58057</v>
      </c>
      <c r="H169" s="44" t="s">
        <v>228</v>
      </c>
    </row>
    <row r="170" spans="1:8" x14ac:dyDescent="0.3">
      <c r="F170" t="s">
        <v>288</v>
      </c>
      <c r="G170" s="29">
        <f ca="1">G169-G168</f>
        <v>-106.44576732236601</v>
      </c>
      <c r="H170" t="s">
        <v>228</v>
      </c>
    </row>
    <row r="171" spans="1:8" x14ac:dyDescent="0.3">
      <c r="F171" t="s">
        <v>292</v>
      </c>
      <c r="G171" s="42">
        <f ca="1">G170/G168</f>
        <v>-1.8301145318692555E-3</v>
      </c>
    </row>
    <row r="173" spans="1:8" x14ac:dyDescent="0.3">
      <c r="A173" s="74" t="s">
        <v>299</v>
      </c>
      <c r="B173" s="74"/>
      <c r="C173" s="74"/>
      <c r="D173" s="74"/>
      <c r="E173" s="74"/>
      <c r="F173" s="75"/>
      <c r="G173" s="75"/>
      <c r="H173" s="75"/>
    </row>
    <row r="174" spans="1:8" s="86" customFormat="1" x14ac:dyDescent="0.3">
      <c r="A174" s="85" t="s">
        <v>14</v>
      </c>
      <c r="B174" s="86" t="s">
        <v>290</v>
      </c>
      <c r="C174" s="86" t="s">
        <v>285</v>
      </c>
      <c r="D174" s="86" t="s">
        <v>19</v>
      </c>
      <c r="E174" s="86" t="s">
        <v>205</v>
      </c>
      <c r="F174" s="86" t="s">
        <v>291</v>
      </c>
    </row>
    <row r="175" spans="1:8" x14ac:dyDescent="0.3">
      <c r="A175" s="68">
        <v>70</v>
      </c>
      <c r="B175" s="68">
        <f t="shared" ref="B175:B180" si="8">A175+1000</f>
        <v>1070</v>
      </c>
      <c r="C175" s="68">
        <v>112</v>
      </c>
      <c r="D175" s="87">
        <f ca="1">_xlfn.XLOOKUP(A175,'TCL_Nodal masses'!A:A,'TCL_Nodal masses'!C:C,0)</f>
        <v>5312.3276758409775</v>
      </c>
      <c r="E175" s="65">
        <f>_xlfn.XLOOKUP(B175,'TCL_Nodal masses'!A:A,'TCL_Nodal masses'!C:C,0)</f>
        <v>0</v>
      </c>
      <c r="F175" s="87">
        <f>_xlfn.XLOOKUP(C175,TCL_Macroelements!C:C,TCL_Macroelements!AT:AT)*1800</f>
        <v>827.99999999999989</v>
      </c>
      <c r="G175" s="19"/>
    </row>
    <row r="176" spans="1:8" x14ac:dyDescent="0.3">
      <c r="A176" s="68">
        <v>73</v>
      </c>
      <c r="B176" s="68">
        <f t="shared" si="8"/>
        <v>1073</v>
      </c>
      <c r="C176" s="68">
        <v>113</v>
      </c>
      <c r="D176" s="87">
        <f ca="1">_xlfn.XLOOKUP(A176,'TCL_Nodal masses'!A:A,'TCL_Nodal masses'!C:C,0)</f>
        <v>3488.6721029957125</v>
      </c>
      <c r="E176" s="65">
        <f>_xlfn.XLOOKUP(B176,'TCL_Nodal masses'!A:A,'TCL_Nodal masses'!C:C,0)</f>
        <v>0</v>
      </c>
      <c r="F176" s="87">
        <f>_xlfn.XLOOKUP(C176,TCL_Macroelements!C:C,TCL_Macroelements!AT:AT)*1800</f>
        <v>1007.9999999999999</v>
      </c>
    </row>
    <row r="177" spans="1:8" x14ac:dyDescent="0.3">
      <c r="A177" s="68">
        <v>76</v>
      </c>
      <c r="B177" s="68">
        <f t="shared" si="8"/>
        <v>1076</v>
      </c>
      <c r="C177" s="68">
        <v>114</v>
      </c>
      <c r="D177" s="87">
        <f>_xlfn.XLOOKUP(A177,'TCL_Nodal masses'!A:A,'TCL_Nodal masses'!C:C,0)</f>
        <v>0</v>
      </c>
      <c r="E177" s="65">
        <f>_xlfn.XLOOKUP(B177,'TCL_Nodal masses'!A:A,'TCL_Nodal masses'!C:C,0)</f>
        <v>0</v>
      </c>
      <c r="F177" s="87">
        <f>_xlfn.XLOOKUP(C177,TCL_Macroelements!C:C,TCL_Macroelements!AT:AT)*1800</f>
        <v>5011.2000000000007</v>
      </c>
    </row>
    <row r="178" spans="1:8" x14ac:dyDescent="0.3">
      <c r="A178" s="68">
        <v>100</v>
      </c>
      <c r="B178" s="68">
        <f t="shared" si="8"/>
        <v>1100</v>
      </c>
      <c r="C178" s="68">
        <v>115</v>
      </c>
      <c r="D178" s="87">
        <f ca="1">_xlfn.XLOOKUP(A178,'TCL_Nodal masses'!A:A,'TCL_Nodal masses'!C:C,0)</f>
        <v>3010.5276758409773</v>
      </c>
      <c r="E178" s="65">
        <f>_xlfn.XLOOKUP(B178,'TCL_Nodal masses'!A:A,'TCL_Nodal masses'!C:C,0)</f>
        <v>0</v>
      </c>
      <c r="F178" s="87">
        <f>_xlfn.XLOOKUP(C178,TCL_Macroelements!C:C,TCL_Macroelements!AT:AT)*1800</f>
        <v>684</v>
      </c>
    </row>
    <row r="179" spans="1:8" x14ac:dyDescent="0.3">
      <c r="A179" s="68">
        <v>101</v>
      </c>
      <c r="B179" s="68">
        <f t="shared" si="8"/>
        <v>1101</v>
      </c>
      <c r="C179" s="68">
        <v>116</v>
      </c>
      <c r="D179" s="87">
        <f ca="1">_xlfn.XLOOKUP(A179,'TCL_Nodal masses'!A:A,'TCL_Nodal masses'!C:C,0)</f>
        <v>2581.7986153236934</v>
      </c>
      <c r="E179" s="65">
        <f>_xlfn.XLOOKUP(B179,'TCL_Nodal masses'!A:A,'TCL_Nodal masses'!C:C,0)</f>
        <v>0</v>
      </c>
      <c r="F179" s="87">
        <f>_xlfn.XLOOKUP(C179,TCL_Macroelements!C:C,TCL_Macroelements!AT:AT)*1800</f>
        <v>1007.9999999999999</v>
      </c>
    </row>
    <row r="180" spans="1:8" x14ac:dyDescent="0.3">
      <c r="A180" s="68">
        <v>102</v>
      </c>
      <c r="B180" s="68">
        <f t="shared" si="8"/>
        <v>1102</v>
      </c>
      <c r="C180" s="68">
        <v>117</v>
      </c>
      <c r="D180" s="87">
        <f>_xlfn.XLOOKUP(A180,'TCL_Nodal masses'!A:A,'TCL_Nodal masses'!C:C,0)</f>
        <v>0</v>
      </c>
      <c r="E180" s="65">
        <f>_xlfn.XLOOKUP(B180,'TCL_Nodal masses'!A:A,'TCL_Nodal masses'!C:C,0)</f>
        <v>0</v>
      </c>
      <c r="F180" s="87">
        <f>_xlfn.XLOOKUP(C180,TCL_Macroelements!C:C,TCL_Macroelements!AT:AT)*1800</f>
        <v>5011.2000000000007</v>
      </c>
    </row>
    <row r="181" spans="1:8" ht="7" customHeight="1" x14ac:dyDescent="0.3">
      <c r="D181" s="25"/>
      <c r="E181" s="25"/>
      <c r="F181" s="25"/>
    </row>
    <row r="182" spans="1:8" ht="14.5" thickBot="1" x14ac:dyDescent="0.35">
      <c r="D182" s="50">
        <f ca="1">SUM(D175:D180)</f>
        <v>14393.32607000136</v>
      </c>
      <c r="E182" s="50">
        <f>SUM(E175:E180)</f>
        <v>0</v>
      </c>
      <c r="F182" s="50">
        <f>SUM(F175:F180)</f>
        <v>13550.400000000001</v>
      </c>
      <c r="G182" s="47">
        <f ca="1">SUM(D182:F182)</f>
        <v>27943.726070001361</v>
      </c>
      <c r="H182" s="46" t="s">
        <v>228</v>
      </c>
    </row>
    <row r="183" spans="1:8" ht="14.5" thickTop="1" x14ac:dyDescent="0.3">
      <c r="E183" s="141" t="s">
        <v>287</v>
      </c>
      <c r="F183" s="141"/>
      <c r="G183" s="48">
        <v>21184</v>
      </c>
      <c r="H183" s="44" t="s">
        <v>228</v>
      </c>
    </row>
    <row r="184" spans="1:8" x14ac:dyDescent="0.3">
      <c r="F184" t="s">
        <v>288</v>
      </c>
      <c r="G184" s="29">
        <f ca="1">G183-G182</f>
        <v>-6759.7260700013612</v>
      </c>
      <c r="H184" t="s">
        <v>228</v>
      </c>
    </row>
    <row r="185" spans="1:8" x14ac:dyDescent="0.3">
      <c r="F185" t="s">
        <v>292</v>
      </c>
      <c r="G185" s="42">
        <f ca="1">G184/G182</f>
        <v>-0.24190496475193338</v>
      </c>
    </row>
    <row r="187" spans="1:8" x14ac:dyDescent="0.3">
      <c r="A187" s="74" t="s">
        <v>300</v>
      </c>
      <c r="B187" s="74"/>
      <c r="C187" s="74"/>
      <c r="D187" s="74"/>
      <c r="E187" s="74"/>
      <c r="F187" s="75"/>
      <c r="G187" s="75"/>
      <c r="H187" s="75"/>
    </row>
    <row r="188" spans="1:8" s="86" customFormat="1" x14ac:dyDescent="0.3">
      <c r="A188" s="85" t="s">
        <v>14</v>
      </c>
      <c r="B188" s="86" t="s">
        <v>290</v>
      </c>
      <c r="C188" s="86" t="s">
        <v>285</v>
      </c>
      <c r="D188" s="86" t="s">
        <v>19</v>
      </c>
      <c r="E188" s="86" t="s">
        <v>205</v>
      </c>
      <c r="F188" s="86" t="s">
        <v>291</v>
      </c>
    </row>
    <row r="189" spans="1:8" x14ac:dyDescent="0.3">
      <c r="A189" s="68">
        <v>55</v>
      </c>
      <c r="B189" s="68">
        <f>A189+1000</f>
        <v>1055</v>
      </c>
      <c r="C189" s="68">
        <v>118</v>
      </c>
      <c r="D189" s="87">
        <f ca="1">_xlfn.XLOOKUP(A189,'TCL_Nodal masses'!A:A,'TCL_Nodal masses'!C:C,0)</f>
        <v>779.83796416284451</v>
      </c>
      <c r="E189" s="65">
        <f>_xlfn.XLOOKUP(B189,'TCL_Nodal masses'!A:A,'TCL_Nodal masses'!C:C,0)</f>
        <v>0</v>
      </c>
      <c r="F189" s="87">
        <f>_xlfn.XLOOKUP(C189,TCL_Macroelements!C:C,TCL_Macroelements!AT:AT)*1800</f>
        <v>7711.2</v>
      </c>
      <c r="G189" s="19"/>
    </row>
    <row r="190" spans="1:8" x14ac:dyDescent="0.3">
      <c r="A190" s="68">
        <v>56</v>
      </c>
      <c r="B190" s="68">
        <f>A190+1000</f>
        <v>1056</v>
      </c>
      <c r="C190" s="68">
        <v>119</v>
      </c>
      <c r="D190" s="87">
        <f ca="1">_xlfn.XLOOKUP(A190,'TCL_Nodal masses'!A:A,'TCL_Nodal masses'!C:C,0)</f>
        <v>1041.8935281961262</v>
      </c>
      <c r="E190" s="65">
        <f>_xlfn.XLOOKUP(B190,'TCL_Nodal masses'!A:A,'TCL_Nodal masses'!C:C,0)</f>
        <v>0</v>
      </c>
      <c r="F190" s="87">
        <f>_xlfn.XLOOKUP(C190,TCL_Macroelements!C:C,TCL_Macroelements!AT:AT)*1800</f>
        <v>6123.6000000000013</v>
      </c>
    </row>
    <row r="191" spans="1:8" x14ac:dyDescent="0.3">
      <c r="A191" s="68">
        <v>57</v>
      </c>
      <c r="B191" s="68">
        <f>A191+1000</f>
        <v>1057</v>
      </c>
      <c r="C191" s="29"/>
      <c r="D191" s="87">
        <f>_xlfn.XLOOKUP(A191,'TCL_Nodal masses'!A:A,'TCL_Nodal masses'!C:C,0)</f>
        <v>0</v>
      </c>
      <c r="E191" s="65">
        <f>_xlfn.XLOOKUP(B191,'TCL_Nodal masses'!A:A,'TCL_Nodal masses'!C:C,0)</f>
        <v>0</v>
      </c>
      <c r="F191" s="49"/>
    </row>
    <row r="192" spans="1:8" ht="7" customHeight="1" x14ac:dyDescent="0.3">
      <c r="D192" s="25"/>
      <c r="E192" s="25"/>
      <c r="F192" s="25"/>
    </row>
    <row r="193" spans="1:8" ht="14.5" thickBot="1" x14ac:dyDescent="0.35">
      <c r="D193" s="50">
        <f ca="1">SUM(D189:D191)</f>
        <v>1821.7314923589706</v>
      </c>
      <c r="E193" s="50">
        <f>SUM(E189:E191)</f>
        <v>0</v>
      </c>
      <c r="F193" s="50">
        <f>SUM(F189:F191)</f>
        <v>13834.800000000001</v>
      </c>
      <c r="G193" s="47">
        <f ca="1">SUM(D193:F193)</f>
        <v>15656.531492358972</v>
      </c>
      <c r="H193" s="46" t="s">
        <v>228</v>
      </c>
    </row>
    <row r="194" spans="1:8" ht="14.5" thickTop="1" x14ac:dyDescent="0.3">
      <c r="E194" s="141" t="s">
        <v>287</v>
      </c>
      <c r="F194" s="141"/>
      <c r="G194" s="48">
        <v>18156</v>
      </c>
      <c r="H194" s="44" t="s">
        <v>228</v>
      </c>
    </row>
    <row r="195" spans="1:8" x14ac:dyDescent="0.3">
      <c r="F195" t="s">
        <v>288</v>
      </c>
      <c r="G195" s="29">
        <f ca="1">ABS(G193-G194)</f>
        <v>2499.4685076410278</v>
      </c>
      <c r="H195" t="s">
        <v>228</v>
      </c>
    </row>
    <row r="196" spans="1:8" x14ac:dyDescent="0.3">
      <c r="F196" t="s">
        <v>292</v>
      </c>
      <c r="G196" s="42">
        <f ca="1">G195/G193</f>
        <v>0.15964382078245559</v>
      </c>
    </row>
    <row r="198" spans="1:8" x14ac:dyDescent="0.3">
      <c r="A198" s="74" t="s">
        <v>301</v>
      </c>
      <c r="B198" s="74"/>
      <c r="C198" s="74"/>
      <c r="D198" s="74"/>
      <c r="E198" s="74"/>
      <c r="F198" s="75"/>
      <c r="G198" s="75"/>
      <c r="H198" s="75"/>
    </row>
    <row r="199" spans="1:8" s="86" customFormat="1" x14ac:dyDescent="0.3">
      <c r="A199" s="85" t="s">
        <v>14</v>
      </c>
      <c r="B199" s="86" t="s">
        <v>290</v>
      </c>
      <c r="C199" s="86" t="s">
        <v>285</v>
      </c>
      <c r="D199" s="86" t="s">
        <v>19</v>
      </c>
      <c r="E199" s="86" t="s">
        <v>205</v>
      </c>
      <c r="F199" s="86" t="s">
        <v>291</v>
      </c>
    </row>
    <row r="200" spans="1:8" x14ac:dyDescent="0.3">
      <c r="A200" s="68">
        <v>92</v>
      </c>
      <c r="B200" s="68">
        <f>A200+1000</f>
        <v>1092</v>
      </c>
      <c r="C200" s="68">
        <v>120</v>
      </c>
      <c r="D200" s="87">
        <f>_xlfn.XLOOKUP(A200,'TCL_Nodal masses'!A:A,'TCL_Nodal masses'!C:C,0)</f>
        <v>0</v>
      </c>
      <c r="E200" s="65">
        <f>_xlfn.XLOOKUP(B200,'TCL_Nodal masses'!A:A,'TCL_Nodal masses'!C:C,0)</f>
        <v>0</v>
      </c>
      <c r="F200" s="87">
        <f>_xlfn.XLOOKUP(C200,TCL_Macroelements!C:C,TCL_Macroelements!AT:AT)*1800</f>
        <v>9424.8000000000011</v>
      </c>
      <c r="G200" s="19"/>
    </row>
    <row r="201" spans="1:8" x14ac:dyDescent="0.3">
      <c r="A201" s="68">
        <v>95</v>
      </c>
      <c r="B201" s="68">
        <f>A201+1000</f>
        <v>1095</v>
      </c>
      <c r="C201" s="68">
        <v>121</v>
      </c>
      <c r="D201" s="87">
        <f ca="1">_xlfn.XLOOKUP(A201,'TCL_Nodal masses'!A:A,'TCL_Nodal masses'!C:C,0)</f>
        <v>408.37765194954136</v>
      </c>
      <c r="E201" s="65">
        <f>_xlfn.XLOOKUP(B201,'TCL_Nodal masses'!A:A,'TCL_Nodal masses'!C:C,0)</f>
        <v>0</v>
      </c>
      <c r="F201" s="87">
        <f>_xlfn.XLOOKUP(C201,TCL_Macroelements!C:C,TCL_Macroelements!AT:AT)*1800</f>
        <v>11226.600000000002</v>
      </c>
    </row>
    <row r="202" spans="1:8" x14ac:dyDescent="0.3">
      <c r="A202" s="68">
        <v>98</v>
      </c>
      <c r="B202" s="68">
        <f>A202+1000</f>
        <v>1098</v>
      </c>
      <c r="C202" s="29"/>
      <c r="D202" s="87">
        <f>_xlfn.XLOOKUP(A202,'TCL_Nodal masses'!A:A,'TCL_Nodal masses'!C:C,0)</f>
        <v>0</v>
      </c>
      <c r="E202" s="65">
        <f>_xlfn.XLOOKUP(B202,'TCL_Nodal masses'!A:A,'TCL_Nodal masses'!C:C,0)</f>
        <v>0</v>
      </c>
      <c r="F202" s="49"/>
    </row>
    <row r="203" spans="1:8" ht="7" customHeight="1" x14ac:dyDescent="0.3">
      <c r="D203" s="25"/>
      <c r="E203" s="25"/>
      <c r="F203" s="25"/>
    </row>
    <row r="204" spans="1:8" ht="14.5" thickBot="1" x14ac:dyDescent="0.35">
      <c r="D204" s="50">
        <f ca="1">SUM(D200:D202)</f>
        <v>408.37765194954136</v>
      </c>
      <c r="E204" s="50">
        <f>SUM(E200:E202)</f>
        <v>0</v>
      </c>
      <c r="F204" s="50">
        <f>SUM(F200:F202)</f>
        <v>20651.400000000001</v>
      </c>
      <c r="G204" s="47">
        <f ca="1">SUM(D204:F204)</f>
        <v>21059.777651949542</v>
      </c>
      <c r="H204" s="46" t="s">
        <v>228</v>
      </c>
    </row>
    <row r="205" spans="1:8" ht="14.5" thickTop="1" x14ac:dyDescent="0.3">
      <c r="E205" s="141" t="s">
        <v>287</v>
      </c>
      <c r="F205" s="141"/>
      <c r="G205" s="48">
        <v>24494</v>
      </c>
      <c r="H205" s="44" t="s">
        <v>228</v>
      </c>
    </row>
    <row r="206" spans="1:8" x14ac:dyDescent="0.3">
      <c r="F206" t="s">
        <v>288</v>
      </c>
      <c r="G206" s="29">
        <f ca="1">G205-G204</f>
        <v>3434.2223480504581</v>
      </c>
      <c r="H206" t="s">
        <v>228</v>
      </c>
    </row>
    <row r="207" spans="1:8" x14ac:dyDescent="0.3">
      <c r="F207" t="s">
        <v>292</v>
      </c>
      <c r="G207" s="42">
        <f ca="1">G206/G204</f>
        <v>0.16307020923046384</v>
      </c>
    </row>
    <row r="209" spans="1:8" x14ac:dyDescent="0.3">
      <c r="A209" s="74" t="s">
        <v>302</v>
      </c>
      <c r="B209" s="74"/>
      <c r="C209" s="74"/>
      <c r="D209" s="74"/>
      <c r="E209" s="74"/>
      <c r="F209" s="75"/>
      <c r="G209" s="75"/>
      <c r="H209" s="75"/>
    </row>
    <row r="210" spans="1:8" s="86" customFormat="1" x14ac:dyDescent="0.3">
      <c r="A210" s="85"/>
      <c r="D210" s="86" t="s">
        <v>19</v>
      </c>
      <c r="E210" s="86" t="s">
        <v>205</v>
      </c>
      <c r="F210" s="86" t="s">
        <v>291</v>
      </c>
    </row>
    <row r="211" spans="1:8" x14ac:dyDescent="0.3">
      <c r="A211" s="6"/>
      <c r="B211" s="66" t="s">
        <v>303</v>
      </c>
      <c r="C211" s="66">
        <v>1</v>
      </c>
      <c r="D211" s="65">
        <f ca="1">D34</f>
        <v>58199.313382667002</v>
      </c>
      <c r="E211" s="65">
        <f t="shared" ref="E211:F211" si="9">E34</f>
        <v>0</v>
      </c>
      <c r="F211" s="65">
        <f t="shared" si="9"/>
        <v>57634.919999999991</v>
      </c>
    </row>
    <row r="212" spans="1:8" x14ac:dyDescent="0.3">
      <c r="A212" s="6"/>
      <c r="B212" s="66" t="s">
        <v>303</v>
      </c>
      <c r="C212" s="66">
        <v>2</v>
      </c>
      <c r="D212" s="65">
        <f ca="1">D54</f>
        <v>37683.878339671741</v>
      </c>
      <c r="E212" s="65">
        <f t="shared" ref="E212:F212" si="10">E54</f>
        <v>0</v>
      </c>
      <c r="F212" s="65">
        <f t="shared" si="10"/>
        <v>44112.959999999992</v>
      </c>
    </row>
    <row r="213" spans="1:8" x14ac:dyDescent="0.3">
      <c r="A213" s="6"/>
      <c r="B213" s="66" t="s">
        <v>303</v>
      </c>
      <c r="C213" s="66">
        <v>3</v>
      </c>
      <c r="D213" s="65">
        <f ca="1">D84</f>
        <v>108201.05113862963</v>
      </c>
      <c r="E213" s="65">
        <f t="shared" ref="E213:F213" si="11">E84</f>
        <v>0</v>
      </c>
      <c r="F213" s="65">
        <f t="shared" si="11"/>
        <v>58567.32</v>
      </c>
    </row>
    <row r="214" spans="1:8" x14ac:dyDescent="0.3">
      <c r="A214" s="6"/>
      <c r="B214" s="66" t="s">
        <v>303</v>
      </c>
      <c r="C214" s="66">
        <v>4</v>
      </c>
      <c r="D214" s="65">
        <f ca="1">D104</f>
        <v>49675.82868646596</v>
      </c>
      <c r="E214" s="65">
        <f t="shared" ref="E214:F214" si="12">E104</f>
        <v>0</v>
      </c>
      <c r="F214" s="65">
        <f t="shared" si="12"/>
        <v>42253.19999999999</v>
      </c>
    </row>
    <row r="215" spans="1:8" x14ac:dyDescent="0.3">
      <c r="A215" s="6"/>
      <c r="B215" s="66" t="s">
        <v>303</v>
      </c>
      <c r="C215" s="66">
        <v>5</v>
      </c>
      <c r="D215" s="65">
        <f ca="1">D128</f>
        <v>101356.59617398892</v>
      </c>
      <c r="E215" s="65">
        <f t="shared" ref="E215:F215" si="13">E128</f>
        <v>0</v>
      </c>
      <c r="F215" s="65">
        <f t="shared" si="13"/>
        <v>60431.399999999994</v>
      </c>
    </row>
    <row r="216" spans="1:8" x14ac:dyDescent="0.3">
      <c r="A216" s="6"/>
      <c r="B216" s="66" t="s">
        <v>303</v>
      </c>
      <c r="C216" s="66">
        <v>6</v>
      </c>
      <c r="D216" s="65">
        <f ca="1">D146</f>
        <v>31316.480980043958</v>
      </c>
      <c r="E216" s="65">
        <f t="shared" ref="E216:F216" si="14">E146</f>
        <v>0</v>
      </c>
      <c r="F216" s="65">
        <f t="shared" si="14"/>
        <v>32404.95</v>
      </c>
    </row>
    <row r="217" spans="1:8" x14ac:dyDescent="0.3">
      <c r="A217" s="29"/>
      <c r="B217" s="66" t="s">
        <v>303</v>
      </c>
      <c r="C217" s="66">
        <v>7</v>
      </c>
      <c r="D217" s="87">
        <f ca="1">D168</f>
        <v>27352.170767322368</v>
      </c>
      <c r="E217" s="87">
        <f t="shared" ref="E217:F217" si="15">E168</f>
        <v>0</v>
      </c>
      <c r="F217" s="87">
        <f t="shared" si="15"/>
        <v>30811.275000000001</v>
      </c>
      <c r="G217" s="19"/>
    </row>
    <row r="218" spans="1:8" x14ac:dyDescent="0.3">
      <c r="A218" s="29"/>
      <c r="B218" s="66" t="s">
        <v>303</v>
      </c>
      <c r="C218" s="66">
        <v>8</v>
      </c>
      <c r="D218" s="87">
        <f ca="1">D182</f>
        <v>14393.32607000136</v>
      </c>
      <c r="E218" s="87">
        <f t="shared" ref="E218:F218" si="16">E182</f>
        <v>0</v>
      </c>
      <c r="F218" s="87">
        <f t="shared" si="16"/>
        <v>13550.400000000001</v>
      </c>
    </row>
    <row r="219" spans="1:8" x14ac:dyDescent="0.3">
      <c r="A219" s="29"/>
      <c r="B219" s="66" t="s">
        <v>303</v>
      </c>
      <c r="C219" s="66">
        <v>9</v>
      </c>
      <c r="D219" s="87">
        <f ca="1">D193</f>
        <v>1821.7314923589706</v>
      </c>
      <c r="E219" s="87">
        <f t="shared" ref="E219:F219" si="17">E193</f>
        <v>0</v>
      </c>
      <c r="F219" s="87">
        <f t="shared" si="17"/>
        <v>13834.800000000001</v>
      </c>
    </row>
    <row r="220" spans="1:8" x14ac:dyDescent="0.3">
      <c r="A220" s="29"/>
      <c r="B220" s="66" t="s">
        <v>303</v>
      </c>
      <c r="C220" s="66">
        <v>10</v>
      </c>
      <c r="D220" s="87">
        <f ca="1">D204</f>
        <v>408.37765194954136</v>
      </c>
      <c r="E220" s="87">
        <f t="shared" ref="E220:F220" si="18">E204</f>
        <v>0</v>
      </c>
      <c r="F220" s="87">
        <f t="shared" si="18"/>
        <v>20651.400000000001</v>
      </c>
    </row>
    <row r="221" spans="1:8" ht="7" customHeight="1" x14ac:dyDescent="0.3">
      <c r="D221" s="25"/>
      <c r="E221" s="25"/>
      <c r="F221" s="25"/>
    </row>
    <row r="222" spans="1:8" ht="14.5" thickBot="1" x14ac:dyDescent="0.35">
      <c r="D222" s="50">
        <f ca="1">SUM(D211:D220)</f>
        <v>430408.75468309934</v>
      </c>
      <c r="E222" s="50">
        <f t="shared" ref="E222:F222" si="19">SUM(E211:E220)</f>
        <v>0</v>
      </c>
      <c r="F222" s="50">
        <f t="shared" si="19"/>
        <v>374252.625</v>
      </c>
      <c r="G222" s="47">
        <f ca="1">SUM(D222:F222)</f>
        <v>804661.37968309934</v>
      </c>
      <c r="H222" s="46" t="s">
        <v>228</v>
      </c>
    </row>
    <row r="223" spans="1:8" ht="14.5" thickTop="1" x14ac:dyDescent="0.3">
      <c r="E223" s="141" t="s">
        <v>287</v>
      </c>
      <c r="F223" s="141"/>
      <c r="G223" s="48">
        <v>830340</v>
      </c>
      <c r="H223" s="44" t="s">
        <v>228</v>
      </c>
    </row>
    <row r="224" spans="1:8" x14ac:dyDescent="0.3">
      <c r="F224" t="s">
        <v>288</v>
      </c>
      <c r="G224" s="29">
        <f ca="1">G223-G222</f>
        <v>25678.620316900662</v>
      </c>
      <c r="H224" t="s">
        <v>228</v>
      </c>
    </row>
    <row r="225" spans="3:8" x14ac:dyDescent="0.3">
      <c r="F225" t="s">
        <v>292</v>
      </c>
      <c r="G225" s="42">
        <f ca="1">G224/G222</f>
        <v>3.1912331031736234E-2</v>
      </c>
    </row>
    <row r="226" spans="3:8" ht="14.5" thickBot="1" x14ac:dyDescent="0.35"/>
    <row r="227" spans="3:8" x14ac:dyDescent="0.3">
      <c r="F227" s="77" t="s">
        <v>314</v>
      </c>
      <c r="G227" s="78">
        <f ca="1">SUM('TCL_Self-weight'!E9:E109)/(-9.81)+F222</f>
        <v>819267.67714022938</v>
      </c>
      <c r="H227" s="79" t="s">
        <v>228</v>
      </c>
    </row>
    <row r="228" spans="3:8" x14ac:dyDescent="0.3">
      <c r="F228" s="80" t="s">
        <v>315</v>
      </c>
      <c r="G228" s="76">
        <f ca="1">G222</f>
        <v>804661.37968309934</v>
      </c>
      <c r="H228" s="81"/>
    </row>
    <row r="229" spans="3:8" x14ac:dyDescent="0.3">
      <c r="F229" s="80" t="s">
        <v>288</v>
      </c>
      <c r="G229" s="76">
        <f ca="1">G228-G227</f>
        <v>-14606.297457130044</v>
      </c>
      <c r="H229" s="81" t="s">
        <v>228</v>
      </c>
    </row>
    <row r="230" spans="3:8" ht="14.5" thickBot="1" x14ac:dyDescent="0.35">
      <c r="F230" s="82" t="s">
        <v>292</v>
      </c>
      <c r="G230" s="83">
        <f ca="1">G229/G227</f>
        <v>-1.7828480073955079E-2</v>
      </c>
      <c r="H230" s="84"/>
    </row>
    <row r="232" spans="3:8" x14ac:dyDescent="0.3">
      <c r="C232" s="25"/>
      <c r="D232" s="25"/>
      <c r="E232" s="29"/>
    </row>
    <row r="233" spans="3:8" x14ac:dyDescent="0.3">
      <c r="C233" s="25"/>
      <c r="D233" s="25"/>
      <c r="E233" s="29"/>
    </row>
    <row r="234" spans="3:8" x14ac:dyDescent="0.3">
      <c r="E234" s="29"/>
    </row>
    <row r="235" spans="3:8" x14ac:dyDescent="0.3">
      <c r="E235" s="29"/>
    </row>
    <row r="236" spans="3:8" x14ac:dyDescent="0.3">
      <c r="E236" s="29"/>
    </row>
    <row r="237" spans="3:8" x14ac:dyDescent="0.3">
      <c r="E237" s="42"/>
    </row>
  </sheetData>
  <sortState xmlns:xlrd2="http://schemas.microsoft.com/office/spreadsheetml/2017/richdata2" ref="K109:K133">
    <sortCondition ref="K109:K133"/>
  </sortState>
  <mergeCells count="13">
    <mergeCell ref="E35:F35"/>
    <mergeCell ref="E55:F55"/>
    <mergeCell ref="E85:F85"/>
    <mergeCell ref="E205:F205"/>
    <mergeCell ref="C3:D3"/>
    <mergeCell ref="C5:F6"/>
    <mergeCell ref="E223:F223"/>
    <mergeCell ref="E105:F105"/>
    <mergeCell ref="E129:F129"/>
    <mergeCell ref="E147:F147"/>
    <mergeCell ref="E169:F169"/>
    <mergeCell ref="E183:F183"/>
    <mergeCell ref="E194:F194"/>
  </mergeCells>
  <pageMargins left="0.7" right="0.7" top="0.78740157499999996" bottom="0.78740157499999996" header="0.3" footer="0.3"/>
  <pageSetup paperSize="9" scale="85" orientation="portrait" r:id="rId1"/>
  <headerFooter>
    <oddHeader>&amp;LMaster Thesis 2023/2024&amp;CSt. Lawrence Parish House,
Petrinja, Croatia&amp;R&amp;G</oddHeader>
    <oddFooter>&amp;L&amp;A&amp;CModel: Initial state&amp;R&amp;P</oddFooter>
  </headerFooter>
  <rowBreaks count="2" manualBreakCount="2">
    <brk id="58" max="16383" man="1"/>
    <brk id="108" max="16383" man="1"/>
  </rowBreaks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5894-E4F9-4731-B125-81566FDE0265}">
  <sheetPr>
    <tabColor theme="6"/>
  </sheetPr>
  <dimension ref="A1:P40"/>
  <sheetViews>
    <sheetView view="pageLayout" zoomScale="70" zoomScaleNormal="100" zoomScalePageLayoutView="70" workbookViewId="0">
      <selection activeCell="G9" sqref="G9"/>
    </sheetView>
  </sheetViews>
  <sheetFormatPr baseColWidth="10" defaultColWidth="10.6640625" defaultRowHeight="14" x14ac:dyDescent="0.3"/>
  <cols>
    <col min="1" max="1" width="9.25" customWidth="1"/>
    <col min="2" max="2" width="21.25" customWidth="1"/>
    <col min="3" max="3" width="13.58203125" customWidth="1"/>
    <col min="4" max="4" width="15.5" customWidth="1"/>
    <col min="5" max="5" width="14.83203125" customWidth="1"/>
    <col min="6" max="6" width="14" customWidth="1"/>
    <col min="7" max="7" width="14.83203125" customWidth="1"/>
  </cols>
  <sheetData>
    <row r="1" spans="1:16" s="105" customFormat="1" ht="17" thickBot="1" x14ac:dyDescent="0.4">
      <c r="A1" s="102" t="s">
        <v>401</v>
      </c>
      <c r="B1" s="103"/>
      <c r="C1" s="104"/>
      <c r="D1" s="104"/>
      <c r="E1" s="103"/>
      <c r="F1" s="103"/>
      <c r="G1" s="103"/>
      <c r="H1"/>
      <c r="I1"/>
      <c r="J1"/>
      <c r="K1"/>
      <c r="L1"/>
      <c r="M1"/>
      <c r="N1"/>
      <c r="O1"/>
      <c r="P1"/>
    </row>
    <row r="2" spans="1:16" x14ac:dyDescent="0.3">
      <c r="A2" s="61" t="s">
        <v>378</v>
      </c>
      <c r="C2" t="s">
        <v>379</v>
      </c>
      <c r="D2" s="25"/>
    </row>
    <row r="3" spans="1:16" x14ac:dyDescent="0.3">
      <c r="A3" s="61" t="s">
        <v>375</v>
      </c>
      <c r="C3" s="140">
        <f ca="1">TODAY()</f>
        <v>45304</v>
      </c>
      <c r="D3" s="140"/>
    </row>
    <row r="4" spans="1:16" x14ac:dyDescent="0.3">
      <c r="A4" s="61" t="s">
        <v>398</v>
      </c>
      <c r="C4" t="s">
        <v>402</v>
      </c>
      <c r="D4" s="25"/>
    </row>
    <row r="5" spans="1:16" x14ac:dyDescent="0.3">
      <c r="A5" s="61" t="s">
        <v>377</v>
      </c>
      <c r="C5" t="s">
        <v>177</v>
      </c>
      <c r="D5" s="25"/>
    </row>
    <row r="6" spans="1:16" x14ac:dyDescent="0.3">
      <c r="A6" s="6"/>
      <c r="B6" s="6"/>
      <c r="C6" s="6"/>
      <c r="D6" s="6"/>
      <c r="E6" s="6"/>
    </row>
    <row r="7" spans="1:16" s="44" customFormat="1" x14ac:dyDescent="0.3">
      <c r="A7" s="94" t="s">
        <v>121</v>
      </c>
      <c r="B7" s="94"/>
      <c r="C7" s="94"/>
      <c r="D7" s="94"/>
      <c r="E7" s="94"/>
      <c r="F7" s="95"/>
      <c r="G7" s="95"/>
      <c r="H7"/>
      <c r="I7"/>
      <c r="J7"/>
      <c r="K7"/>
      <c r="L7"/>
      <c r="M7"/>
      <c r="N7"/>
      <c r="O7"/>
      <c r="P7"/>
    </row>
    <row r="8" spans="1:16" s="44" customFormat="1" x14ac:dyDescent="0.3">
      <c r="A8" s="96" t="s">
        <v>145</v>
      </c>
      <c r="B8" s="96"/>
      <c r="C8" s="96"/>
      <c r="D8" s="96"/>
      <c r="E8" s="96"/>
      <c r="F8" s="97"/>
      <c r="G8" s="97"/>
      <c r="H8"/>
      <c r="I8"/>
      <c r="J8"/>
      <c r="K8"/>
      <c r="L8"/>
      <c r="M8"/>
      <c r="N8"/>
      <c r="O8"/>
      <c r="P8"/>
    </row>
    <row r="9" spans="1:16" s="107" customFormat="1" ht="30.5" thickBot="1" x14ac:dyDescent="0.35">
      <c r="A9" s="106" t="s">
        <v>113</v>
      </c>
      <c r="B9" s="106"/>
      <c r="C9" s="106" t="s">
        <v>114</v>
      </c>
      <c r="D9" s="106" t="s">
        <v>124</v>
      </c>
      <c r="E9" s="106" t="s">
        <v>115</v>
      </c>
      <c r="F9" s="106" t="s">
        <v>116</v>
      </c>
      <c r="G9" s="106" t="s">
        <v>123</v>
      </c>
      <c r="H9"/>
      <c r="I9"/>
      <c r="J9"/>
      <c r="K9"/>
      <c r="L9"/>
      <c r="M9"/>
      <c r="N9"/>
      <c r="O9"/>
      <c r="P9"/>
    </row>
    <row r="10" spans="1:16" x14ac:dyDescent="0.3">
      <c r="A10" s="98">
        <v>1</v>
      </c>
      <c r="B10" s="99" t="s">
        <v>120</v>
      </c>
      <c r="C10" s="98" t="s">
        <v>117</v>
      </c>
      <c r="D10" s="100">
        <v>8</v>
      </c>
      <c r="E10" s="101">
        <f>D10*1000/9.81</f>
        <v>815.49439347604482</v>
      </c>
      <c r="F10" s="98">
        <v>1.4999999999999999E-2</v>
      </c>
      <c r="G10" s="101">
        <f>E10*F10</f>
        <v>12.232415902140671</v>
      </c>
    </row>
    <row r="11" spans="1:16" ht="28" x14ac:dyDescent="0.3">
      <c r="A11" s="9">
        <v>2</v>
      </c>
      <c r="B11" s="10" t="s">
        <v>118</v>
      </c>
      <c r="C11" s="9" t="s">
        <v>129</v>
      </c>
      <c r="D11" s="20">
        <f>E11*9.81/1000</f>
        <v>8.0932499999999994</v>
      </c>
      <c r="E11" s="21">
        <v>825</v>
      </c>
      <c r="F11" s="9">
        <v>0.03</v>
      </c>
      <c r="G11" s="21">
        <f>E11*F11</f>
        <v>24.75</v>
      </c>
    </row>
    <row r="12" spans="1:16" x14ac:dyDescent="0.3">
      <c r="A12" s="9">
        <v>3</v>
      </c>
      <c r="B12" s="10" t="s">
        <v>242</v>
      </c>
      <c r="C12" s="9" t="s">
        <v>243</v>
      </c>
      <c r="D12" s="20"/>
      <c r="E12" s="21">
        <v>1400</v>
      </c>
      <c r="F12" s="9" t="s">
        <v>255</v>
      </c>
      <c r="G12" s="21"/>
    </row>
    <row r="13" spans="1:16" x14ac:dyDescent="0.3">
      <c r="A13" s="9">
        <v>4</v>
      </c>
      <c r="B13" s="10" t="s">
        <v>125</v>
      </c>
      <c r="C13" s="9" t="s">
        <v>126</v>
      </c>
      <c r="D13" s="20">
        <v>18</v>
      </c>
      <c r="E13" s="21">
        <f>D13*1000/9.81</f>
        <v>1834.8623853211009</v>
      </c>
      <c r="F13" s="9">
        <v>0.15</v>
      </c>
      <c r="G13" s="21">
        <f>E13*F13</f>
        <v>275.2293577981651</v>
      </c>
    </row>
    <row r="14" spans="1:16" ht="17" x14ac:dyDescent="0.3">
      <c r="A14" s="6"/>
      <c r="B14" s="7"/>
      <c r="C14" s="6"/>
      <c r="D14" s="22"/>
      <c r="E14" s="23"/>
      <c r="F14" s="26" t="s">
        <v>146</v>
      </c>
      <c r="G14" s="27">
        <f>SUM(G10:G13)</f>
        <v>312.2117737003058</v>
      </c>
    </row>
    <row r="15" spans="1:16" s="44" customFormat="1" x14ac:dyDescent="0.3">
      <c r="A15" s="96" t="s">
        <v>147</v>
      </c>
      <c r="B15" s="96"/>
      <c r="C15" s="96"/>
      <c r="D15" s="96"/>
      <c r="E15" s="96"/>
      <c r="F15" s="97"/>
      <c r="G15" s="97"/>
      <c r="H15"/>
      <c r="I15"/>
      <c r="J15"/>
      <c r="K15"/>
      <c r="L15"/>
      <c r="M15"/>
      <c r="N15"/>
      <c r="O15"/>
      <c r="P15"/>
    </row>
    <row r="16" spans="1:16" s="105" customFormat="1" ht="44.5" thickBot="1" x14ac:dyDescent="0.35">
      <c r="A16" s="106" t="s">
        <v>139</v>
      </c>
      <c r="B16" s="106"/>
      <c r="C16" s="106"/>
      <c r="D16" s="106" t="s">
        <v>142</v>
      </c>
      <c r="E16" s="106" t="s">
        <v>144</v>
      </c>
      <c r="F16" s="106" t="s">
        <v>143</v>
      </c>
      <c r="G16" s="106" t="s">
        <v>123</v>
      </c>
      <c r="H16"/>
      <c r="I16"/>
      <c r="J16"/>
      <c r="K16"/>
      <c r="L16"/>
      <c r="M16"/>
      <c r="N16"/>
      <c r="O16"/>
      <c r="P16"/>
    </row>
    <row r="17" spans="1:16" x14ac:dyDescent="0.3">
      <c r="A17" t="s">
        <v>140</v>
      </c>
      <c r="B17" t="s">
        <v>141</v>
      </c>
      <c r="D17">
        <v>2</v>
      </c>
      <c r="E17">
        <v>0.3</v>
      </c>
      <c r="F17">
        <f>D17*E17</f>
        <v>0.6</v>
      </c>
      <c r="G17" s="25">
        <f>F17*1000/9.81</f>
        <v>61.162079510703364</v>
      </c>
    </row>
    <row r="18" spans="1:16" ht="17" x14ac:dyDescent="0.3">
      <c r="E18" s="3"/>
      <c r="F18" s="28" t="s">
        <v>146</v>
      </c>
      <c r="G18" s="27">
        <f>SUM(G15:G17)</f>
        <v>61.162079510703364</v>
      </c>
    </row>
    <row r="19" spans="1:16" ht="16" x14ac:dyDescent="0.3">
      <c r="E19" s="143" t="s">
        <v>403</v>
      </c>
      <c r="F19" s="143"/>
      <c r="G19" s="108">
        <f>G14+G18</f>
        <v>373.37385321100919</v>
      </c>
    </row>
    <row r="20" spans="1:16" x14ac:dyDescent="0.3">
      <c r="E20" s="43"/>
      <c r="F20" s="43"/>
      <c r="G20" s="24"/>
    </row>
    <row r="21" spans="1:16" s="44" customFormat="1" x14ac:dyDescent="0.3">
      <c r="A21" s="94" t="s">
        <v>64</v>
      </c>
      <c r="B21" s="94"/>
      <c r="C21" s="94"/>
      <c r="D21" s="94"/>
      <c r="E21" s="94"/>
      <c r="F21" s="95"/>
      <c r="G21" s="95"/>
      <c r="H21"/>
      <c r="I21"/>
      <c r="J21"/>
      <c r="K21"/>
      <c r="L21"/>
      <c r="M21"/>
      <c r="N21"/>
      <c r="O21"/>
      <c r="P21"/>
    </row>
    <row r="22" spans="1:16" s="44" customFormat="1" x14ac:dyDescent="0.3">
      <c r="A22" s="96" t="s">
        <v>145</v>
      </c>
      <c r="B22" s="96"/>
      <c r="C22" s="96"/>
      <c r="D22" s="96"/>
      <c r="E22" s="96"/>
      <c r="F22" s="97"/>
      <c r="G22" s="97"/>
      <c r="H22"/>
      <c r="I22"/>
      <c r="J22"/>
      <c r="K22"/>
      <c r="L22"/>
      <c r="M22"/>
      <c r="N22"/>
      <c r="O22"/>
      <c r="P22"/>
    </row>
    <row r="23" spans="1:16" s="105" customFormat="1" ht="30.5" thickBot="1" x14ac:dyDescent="0.35">
      <c r="A23" s="106" t="s">
        <v>113</v>
      </c>
      <c r="B23" s="106"/>
      <c r="C23" s="106" t="s">
        <v>114</v>
      </c>
      <c r="D23" s="106" t="s">
        <v>124</v>
      </c>
      <c r="E23" s="106" t="s">
        <v>115</v>
      </c>
      <c r="F23" s="106" t="s">
        <v>116</v>
      </c>
      <c r="G23" s="106" t="s">
        <v>123</v>
      </c>
      <c r="H23"/>
      <c r="I23"/>
      <c r="J23"/>
      <c r="K23"/>
      <c r="L23"/>
      <c r="M23"/>
      <c r="N23"/>
      <c r="O23"/>
      <c r="P23"/>
    </row>
    <row r="24" spans="1:16" x14ac:dyDescent="0.3">
      <c r="A24" s="98">
        <v>1</v>
      </c>
      <c r="B24" s="99" t="s">
        <v>120</v>
      </c>
      <c r="C24" s="98" t="s">
        <v>117</v>
      </c>
      <c r="D24" s="100">
        <v>8</v>
      </c>
      <c r="E24" s="101">
        <f>D24*1000/9.81</f>
        <v>815.49439347604482</v>
      </c>
      <c r="F24" s="98">
        <v>1.4999999999999999E-2</v>
      </c>
      <c r="G24" s="101">
        <f>E24*F24</f>
        <v>12.232415902140671</v>
      </c>
    </row>
    <row r="25" spans="1:16" ht="28" x14ac:dyDescent="0.3">
      <c r="A25" s="9">
        <v>2</v>
      </c>
      <c r="B25" s="10" t="s">
        <v>241</v>
      </c>
      <c r="C25" s="10" t="s">
        <v>428</v>
      </c>
      <c r="D25" s="20">
        <v>25</v>
      </c>
      <c r="E25" s="21">
        <f>D25*1000/9.81</f>
        <v>2548.41997961264</v>
      </c>
      <c r="F25" s="9">
        <v>0.1</v>
      </c>
      <c r="G25" s="21">
        <f>E25*F25</f>
        <v>254.84199796126401</v>
      </c>
    </row>
    <row r="26" spans="1:16" ht="17" x14ac:dyDescent="0.3">
      <c r="A26" s="6"/>
      <c r="B26" s="7"/>
      <c r="C26" s="6"/>
      <c r="D26" s="22"/>
      <c r="E26" s="23"/>
      <c r="F26" s="28" t="s">
        <v>146</v>
      </c>
      <c r="G26" s="27">
        <f>SUM(G24:G25)</f>
        <v>267.07441386340469</v>
      </c>
    </row>
    <row r="27" spans="1:16" s="44" customFormat="1" x14ac:dyDescent="0.3">
      <c r="A27" s="96" t="s">
        <v>147</v>
      </c>
      <c r="B27" s="96"/>
      <c r="C27" s="96"/>
      <c r="D27" s="96"/>
      <c r="E27" s="96"/>
      <c r="F27" s="97"/>
      <c r="G27" s="97"/>
      <c r="H27"/>
      <c r="I27"/>
      <c r="J27"/>
      <c r="K27"/>
      <c r="L27"/>
      <c r="M27"/>
      <c r="N27"/>
      <c r="O27"/>
      <c r="P27"/>
    </row>
    <row r="28" spans="1:16" s="105" customFormat="1" ht="44.5" thickBot="1" x14ac:dyDescent="0.35">
      <c r="A28" s="106" t="s">
        <v>139</v>
      </c>
      <c r="B28" s="106"/>
      <c r="C28" s="106"/>
      <c r="D28" s="106" t="s">
        <v>142</v>
      </c>
      <c r="E28" s="106" t="s">
        <v>144</v>
      </c>
      <c r="F28" s="106" t="s">
        <v>143</v>
      </c>
      <c r="G28" s="106" t="s">
        <v>123</v>
      </c>
      <c r="H28"/>
      <c r="I28"/>
      <c r="J28"/>
      <c r="K28"/>
      <c r="L28"/>
      <c r="M28"/>
      <c r="N28"/>
      <c r="O28"/>
      <c r="P28"/>
    </row>
    <row r="29" spans="1:16" x14ac:dyDescent="0.3">
      <c r="A29" t="s">
        <v>140</v>
      </c>
      <c r="B29" t="s">
        <v>141</v>
      </c>
      <c r="D29">
        <v>2</v>
      </c>
      <c r="E29">
        <v>0.3</v>
      </c>
      <c r="F29">
        <f>D29*E29</f>
        <v>0.6</v>
      </c>
      <c r="G29" s="25">
        <f>F29*1000/9.81</f>
        <v>61.162079510703364</v>
      </c>
    </row>
    <row r="30" spans="1:16" ht="17" x14ac:dyDescent="0.3">
      <c r="E30" s="3"/>
      <c r="F30" s="28" t="s">
        <v>146</v>
      </c>
      <c r="G30" s="27">
        <f>SUM(G27:G29)</f>
        <v>61.162079510703364</v>
      </c>
    </row>
    <row r="31" spans="1:16" ht="16" x14ac:dyDescent="0.3">
      <c r="E31" s="143" t="s">
        <v>404</v>
      </c>
      <c r="F31" s="143"/>
      <c r="G31" s="108">
        <f>G26+G30</f>
        <v>328.23649337410802</v>
      </c>
    </row>
    <row r="33" spans="1:16" s="44" customFormat="1" x14ac:dyDescent="0.3">
      <c r="A33" s="94" t="s">
        <v>148</v>
      </c>
      <c r="B33" s="94"/>
      <c r="C33" s="94"/>
      <c r="D33" s="94"/>
      <c r="E33" s="94"/>
      <c r="F33" s="95"/>
      <c r="G33" s="95"/>
      <c r="H33"/>
      <c r="I33"/>
      <c r="J33"/>
      <c r="K33"/>
      <c r="L33"/>
      <c r="M33"/>
      <c r="N33"/>
      <c r="O33"/>
      <c r="P33"/>
    </row>
    <row r="34" spans="1:16" s="44" customFormat="1" x14ac:dyDescent="0.3">
      <c r="A34" s="96" t="s">
        <v>145</v>
      </c>
      <c r="B34" s="96"/>
      <c r="C34" s="96"/>
      <c r="D34" s="96"/>
      <c r="E34" s="96"/>
      <c r="F34" s="97"/>
      <c r="G34" s="97"/>
      <c r="H34"/>
      <c r="I34"/>
      <c r="J34"/>
      <c r="K34"/>
      <c r="L34"/>
      <c r="M34"/>
      <c r="N34"/>
      <c r="O34"/>
      <c r="P34"/>
    </row>
    <row r="35" spans="1:16" s="105" customFormat="1" ht="30.5" thickBot="1" x14ac:dyDescent="0.35">
      <c r="A35" s="106" t="s">
        <v>113</v>
      </c>
      <c r="B35" s="106"/>
      <c r="C35" s="106" t="s">
        <v>114</v>
      </c>
      <c r="D35" s="106" t="s">
        <v>124</v>
      </c>
      <c r="E35" s="106" t="s">
        <v>115</v>
      </c>
      <c r="F35" s="106" t="s">
        <v>116</v>
      </c>
      <c r="G35" s="106" t="s">
        <v>123</v>
      </c>
      <c r="H35"/>
      <c r="I35"/>
      <c r="J35"/>
      <c r="K35"/>
      <c r="L35"/>
      <c r="M35"/>
      <c r="N35"/>
      <c r="O35"/>
      <c r="P35"/>
    </row>
    <row r="36" spans="1:16" x14ac:dyDescent="0.3">
      <c r="A36" s="98">
        <v>1</v>
      </c>
      <c r="B36" s="99" t="s">
        <v>131</v>
      </c>
      <c r="C36" s="98" t="s">
        <v>130</v>
      </c>
      <c r="D36" s="100">
        <v>0.75</v>
      </c>
      <c r="E36" s="101">
        <f>D36*1000/9.81</f>
        <v>76.452599388379198</v>
      </c>
      <c r="F36" s="98">
        <v>1</v>
      </c>
      <c r="G36" s="101">
        <f>E36*F36</f>
        <v>76.452599388379198</v>
      </c>
    </row>
    <row r="37" spans="1:16" x14ac:dyDescent="0.3">
      <c r="A37" s="9">
        <v>2</v>
      </c>
      <c r="B37" s="10" t="s">
        <v>133</v>
      </c>
      <c r="C37" s="9" t="s">
        <v>134</v>
      </c>
      <c r="D37" s="20">
        <v>0.25</v>
      </c>
      <c r="E37" s="21">
        <f t="shared" ref="E37:E39" si="0">D37*1000/9.81</f>
        <v>25.484199796126401</v>
      </c>
      <c r="F37" s="9">
        <v>0.2</v>
      </c>
      <c r="G37" s="21">
        <f t="shared" ref="G37:G39" si="1">E37*F37</f>
        <v>5.0968399592252807</v>
      </c>
    </row>
    <row r="38" spans="1:16" ht="28" x14ac:dyDescent="0.3">
      <c r="A38" s="9">
        <v>3</v>
      </c>
      <c r="B38" s="10" t="s">
        <v>135</v>
      </c>
      <c r="C38" s="9" t="s">
        <v>136</v>
      </c>
      <c r="D38" s="20">
        <v>5</v>
      </c>
      <c r="E38" s="21">
        <f t="shared" si="0"/>
        <v>509.68399592252803</v>
      </c>
      <c r="F38" s="9">
        <v>0.2</v>
      </c>
      <c r="G38" s="21">
        <f t="shared" si="1"/>
        <v>101.93679918450562</v>
      </c>
    </row>
    <row r="39" spans="1:16" x14ac:dyDescent="0.3">
      <c r="A39" s="9">
        <v>4</v>
      </c>
      <c r="B39" s="10" t="s">
        <v>137</v>
      </c>
      <c r="C39" s="9" t="s">
        <v>138</v>
      </c>
      <c r="D39" s="9">
        <v>12</v>
      </c>
      <c r="E39" s="21">
        <f t="shared" si="0"/>
        <v>1223.2415902140672</v>
      </c>
      <c r="F39" s="9">
        <v>0.01</v>
      </c>
      <c r="G39" s="21">
        <f t="shared" si="1"/>
        <v>12.232415902140673</v>
      </c>
    </row>
    <row r="40" spans="1:16" ht="16" x14ac:dyDescent="0.3">
      <c r="A40" t="s">
        <v>132</v>
      </c>
      <c r="F40" s="85" t="s">
        <v>405</v>
      </c>
      <c r="G40" s="108">
        <f>SUM(G36:G39)</f>
        <v>195.71865443425077</v>
      </c>
    </row>
  </sheetData>
  <mergeCells count="3">
    <mergeCell ref="E19:F19"/>
    <mergeCell ref="E31:F31"/>
    <mergeCell ref="C3:D3"/>
  </mergeCells>
  <pageMargins left="0.70866141732283461" right="0.70866141732283461" top="0.74803149606299213" bottom="0.74803149606299213" header="0.31496062992125984" footer="0.31496062992125984"/>
  <pageSetup paperSize="9" scale="75" orientation="portrait" r:id="rId1"/>
  <headerFooter>
    <oddHeader>&amp;LMaster Thesis 2023/2024&amp;CSt. Lawrence Parish House,
Petrinja, Croatia&amp;R&amp;G</oddHeader>
    <oddFooter>&amp;L&amp;A&amp;CModel: Initial state&amp;R&amp;P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8133-3521-406A-8ABC-7829CE7DE92B}">
  <sheetPr>
    <tabColor theme="6"/>
  </sheetPr>
  <dimension ref="A1:P33"/>
  <sheetViews>
    <sheetView view="pageLayout" zoomScaleNormal="145" workbookViewId="0">
      <selection activeCell="H11" sqref="H11"/>
    </sheetView>
  </sheetViews>
  <sheetFormatPr baseColWidth="10" defaultColWidth="10.6640625" defaultRowHeight="14" x14ac:dyDescent="0.3"/>
  <cols>
    <col min="1" max="1" width="18.33203125" customWidth="1"/>
    <col min="2" max="2" width="14.08203125" customWidth="1"/>
    <col min="5" max="5" width="14.4140625" customWidth="1"/>
    <col min="6" max="6" width="13.58203125" customWidth="1"/>
  </cols>
  <sheetData>
    <row r="1" spans="1:16" s="105" customFormat="1" ht="17" thickBot="1" x14ac:dyDescent="0.4">
      <c r="A1" s="102" t="s">
        <v>406</v>
      </c>
      <c r="B1" s="103"/>
      <c r="C1" s="104"/>
      <c r="D1" s="104"/>
      <c r="E1" s="103"/>
      <c r="F1" s="103"/>
      <c r="G1" s="103"/>
      <c r="H1" s="103"/>
      <c r="I1" s="103"/>
      <c r="J1"/>
      <c r="K1"/>
      <c r="L1"/>
      <c r="M1"/>
      <c r="N1"/>
      <c r="O1"/>
      <c r="P1"/>
    </row>
    <row r="2" spans="1:16" x14ac:dyDescent="0.3">
      <c r="A2" s="61" t="s">
        <v>378</v>
      </c>
      <c r="B2" t="s">
        <v>379</v>
      </c>
      <c r="C2" s="25"/>
    </row>
    <row r="3" spans="1:16" x14ac:dyDescent="0.3">
      <c r="A3" s="61" t="s">
        <v>375</v>
      </c>
      <c r="B3" s="140">
        <f ca="1">TODAY()</f>
        <v>45304</v>
      </c>
      <c r="C3" s="140"/>
    </row>
    <row r="4" spans="1:16" x14ac:dyDescent="0.3">
      <c r="A4" s="61" t="s">
        <v>398</v>
      </c>
      <c r="B4" t="s">
        <v>407</v>
      </c>
      <c r="C4" s="25"/>
    </row>
    <row r="5" spans="1:16" x14ac:dyDescent="0.3">
      <c r="A5" s="61" t="s">
        <v>377</v>
      </c>
      <c r="B5" t="s">
        <v>177</v>
      </c>
      <c r="C5" s="25"/>
    </row>
    <row r="6" spans="1:16" s="6" customFormat="1" x14ac:dyDescent="0.3"/>
    <row r="7" spans="1:16" s="6" customFormat="1" x14ac:dyDescent="0.3">
      <c r="A7" s="94" t="s">
        <v>170</v>
      </c>
      <c r="B7" s="94"/>
      <c r="C7" s="94"/>
      <c r="D7" s="94"/>
      <c r="E7" s="94"/>
      <c r="F7" s="94"/>
      <c r="G7" s="94"/>
    </row>
    <row r="8" spans="1:16" ht="14.5" thickBot="1" x14ac:dyDescent="0.35">
      <c r="A8" s="106" t="s">
        <v>165</v>
      </c>
      <c r="B8" s="106" t="s">
        <v>169</v>
      </c>
      <c r="C8" s="106" t="s">
        <v>166</v>
      </c>
      <c r="D8" s="106" t="s">
        <v>189</v>
      </c>
      <c r="E8" s="106" t="s">
        <v>167</v>
      </c>
      <c r="F8" s="106" t="s">
        <v>190</v>
      </c>
      <c r="G8" s="106" t="s">
        <v>167</v>
      </c>
    </row>
    <row r="9" spans="1:16" x14ac:dyDescent="0.3">
      <c r="A9" s="9" t="s">
        <v>168</v>
      </c>
      <c r="B9" s="9" t="s">
        <v>170</v>
      </c>
      <c r="C9" s="66" t="s">
        <v>171</v>
      </c>
      <c r="D9" s="40">
        <f>650*D12</f>
        <v>4645168784.8367167</v>
      </c>
      <c r="E9" s="66" t="s">
        <v>172</v>
      </c>
      <c r="F9" s="40">
        <v>1500000000</v>
      </c>
      <c r="G9" s="66" t="s">
        <v>172</v>
      </c>
    </row>
    <row r="10" spans="1:16" x14ac:dyDescent="0.3">
      <c r="A10" s="9" t="s">
        <v>173</v>
      </c>
      <c r="B10" s="9" t="s">
        <v>170</v>
      </c>
      <c r="C10" s="66" t="s">
        <v>174</v>
      </c>
      <c r="D10" s="40">
        <f>D9/(2*(1+D11))</f>
        <v>1935486993.6819654</v>
      </c>
      <c r="E10" s="66" t="s">
        <v>172</v>
      </c>
      <c r="F10" s="40">
        <v>500000000</v>
      </c>
      <c r="G10" s="66" t="s">
        <v>172</v>
      </c>
    </row>
    <row r="11" spans="1:16" ht="14.5" x14ac:dyDescent="0.35">
      <c r="A11" s="9" t="s">
        <v>175</v>
      </c>
      <c r="B11" s="9" t="s">
        <v>170</v>
      </c>
      <c r="C11" s="109" t="s">
        <v>176</v>
      </c>
      <c r="D11" s="66">
        <v>0.2</v>
      </c>
      <c r="E11" s="66" t="s">
        <v>177</v>
      </c>
      <c r="F11" s="66">
        <f>D11</f>
        <v>0.2</v>
      </c>
      <c r="G11" s="66" t="s">
        <v>177</v>
      </c>
    </row>
    <row r="12" spans="1:16" ht="16" x14ac:dyDescent="0.4">
      <c r="A12" s="9" t="s">
        <v>178</v>
      </c>
      <c r="B12" s="9" t="s">
        <v>170</v>
      </c>
      <c r="C12" s="66" t="s">
        <v>179</v>
      </c>
      <c r="D12" s="40">
        <f>0.54*D13^(0.7)*D14^(0.3)</f>
        <v>7146413.5151334098</v>
      </c>
      <c r="E12" s="66" t="s">
        <v>172</v>
      </c>
      <c r="F12" s="40">
        <v>3200000</v>
      </c>
      <c r="G12" s="66" t="s">
        <v>172</v>
      </c>
    </row>
    <row r="13" spans="1:16" ht="16" x14ac:dyDescent="0.4">
      <c r="A13" s="9" t="s">
        <v>178</v>
      </c>
      <c r="B13" s="9" t="s">
        <v>180</v>
      </c>
      <c r="C13" s="66" t="s">
        <v>181</v>
      </c>
      <c r="D13" s="40">
        <v>25000000</v>
      </c>
      <c r="E13" s="66" t="s">
        <v>172</v>
      </c>
      <c r="F13" s="40">
        <f t="shared" ref="F13:F14" si="0">ROUND(D13/1000,2)*1000</f>
        <v>25000000</v>
      </c>
      <c r="G13" s="66" t="s">
        <v>172</v>
      </c>
    </row>
    <row r="14" spans="1:16" ht="16" x14ac:dyDescent="0.4">
      <c r="A14" s="9" t="s">
        <v>178</v>
      </c>
      <c r="B14" s="9" t="s">
        <v>182</v>
      </c>
      <c r="C14" s="66" t="s">
        <v>183</v>
      </c>
      <c r="D14" s="40">
        <v>3000000</v>
      </c>
      <c r="E14" s="66" t="s">
        <v>172</v>
      </c>
      <c r="F14" s="40">
        <f t="shared" si="0"/>
        <v>3000000</v>
      </c>
      <c r="G14" s="66" t="s">
        <v>172</v>
      </c>
    </row>
    <row r="15" spans="1:16" x14ac:dyDescent="0.3">
      <c r="A15" s="9" t="s">
        <v>184</v>
      </c>
      <c r="B15" s="9" t="s">
        <v>185</v>
      </c>
      <c r="C15" s="66" t="s">
        <v>186</v>
      </c>
      <c r="D15" s="40">
        <v>180000</v>
      </c>
      <c r="E15" s="66" t="s">
        <v>172</v>
      </c>
      <c r="F15" s="40">
        <f>D15</f>
        <v>180000</v>
      </c>
      <c r="G15" s="66" t="s">
        <v>172</v>
      </c>
    </row>
    <row r="16" spans="1:16" ht="14.5" x14ac:dyDescent="0.35">
      <c r="A16" s="9" t="s">
        <v>187</v>
      </c>
      <c r="B16" s="9" t="s">
        <v>185</v>
      </c>
      <c r="C16" s="109" t="s">
        <v>188</v>
      </c>
      <c r="D16" s="66">
        <v>0.65</v>
      </c>
      <c r="E16" s="66" t="s">
        <v>177</v>
      </c>
      <c r="F16" s="66">
        <f>D16</f>
        <v>0.65</v>
      </c>
      <c r="G16" s="66" t="s">
        <v>177</v>
      </c>
    </row>
    <row r="17" spans="1:7" ht="14.5" x14ac:dyDescent="0.35">
      <c r="A17" s="6"/>
      <c r="B17" s="6"/>
      <c r="C17" s="30"/>
    </row>
    <row r="18" spans="1:7" x14ac:dyDescent="0.3">
      <c r="A18" s="94" t="s">
        <v>128</v>
      </c>
      <c r="B18" s="94"/>
      <c r="C18" s="94"/>
      <c r="D18" s="94"/>
      <c r="E18" s="94"/>
      <c r="F18" s="94"/>
      <c r="G18" s="94"/>
    </row>
    <row r="19" spans="1:7" ht="14.5" thickBot="1" x14ac:dyDescent="0.35">
      <c r="A19" s="106" t="s">
        <v>165</v>
      </c>
      <c r="B19" s="106" t="s">
        <v>166</v>
      </c>
      <c r="C19" s="106" t="s">
        <v>189</v>
      </c>
      <c r="D19" s="106" t="s">
        <v>167</v>
      </c>
      <c r="E19" s="106" t="s">
        <v>190</v>
      </c>
      <c r="F19" s="106" t="s">
        <v>167</v>
      </c>
      <c r="G19" s="106"/>
    </row>
    <row r="20" spans="1:7" x14ac:dyDescent="0.3">
      <c r="A20" s="10" t="s">
        <v>168</v>
      </c>
      <c r="B20" s="66" t="s">
        <v>171</v>
      </c>
      <c r="C20" s="40">
        <v>30000000000</v>
      </c>
      <c r="D20" s="66" t="s">
        <v>172</v>
      </c>
      <c r="E20" s="40">
        <f>ROUND(C20/1000000,2)*1000000</f>
        <v>30000000000</v>
      </c>
      <c r="F20" s="66" t="s">
        <v>172</v>
      </c>
    </row>
    <row r="21" spans="1:7" x14ac:dyDescent="0.3">
      <c r="A21" s="9" t="s">
        <v>173</v>
      </c>
      <c r="B21" s="66" t="s">
        <v>174</v>
      </c>
      <c r="C21" s="40">
        <f>C20/(2*(1+C22))</f>
        <v>12500000000</v>
      </c>
      <c r="D21" s="66" t="s">
        <v>172</v>
      </c>
      <c r="E21" s="40">
        <f>ROUND(C21/100000,2)*100000</f>
        <v>12500000000</v>
      </c>
      <c r="F21" s="66" t="s">
        <v>172</v>
      </c>
    </row>
    <row r="22" spans="1:7" ht="14.5" x14ac:dyDescent="0.35">
      <c r="A22" s="9" t="s">
        <v>175</v>
      </c>
      <c r="B22" s="109" t="s">
        <v>176</v>
      </c>
      <c r="C22" s="66">
        <v>0.2</v>
      </c>
      <c r="D22" s="66" t="s">
        <v>177</v>
      </c>
      <c r="E22" s="66">
        <f>C22</f>
        <v>0.2</v>
      </c>
      <c r="F22" s="66" t="s">
        <v>177</v>
      </c>
    </row>
    <row r="24" spans="1:7" x14ac:dyDescent="0.3">
      <c r="A24" s="94" t="s">
        <v>119</v>
      </c>
      <c r="B24" s="94"/>
      <c r="C24" s="94"/>
      <c r="D24" s="94"/>
      <c r="E24" s="94"/>
      <c r="F24" s="94"/>
      <c r="G24" s="94"/>
    </row>
    <row r="25" spans="1:7" ht="14.5" thickBot="1" x14ac:dyDescent="0.35">
      <c r="A25" s="106" t="s">
        <v>165</v>
      </c>
      <c r="B25" s="106" t="s">
        <v>166</v>
      </c>
      <c r="C25" s="106" t="s">
        <v>189</v>
      </c>
      <c r="D25" s="106" t="s">
        <v>167</v>
      </c>
      <c r="E25" s="106" t="s">
        <v>190</v>
      </c>
      <c r="F25" s="106" t="s">
        <v>167</v>
      </c>
      <c r="G25" s="106"/>
    </row>
    <row r="26" spans="1:7" ht="28" x14ac:dyDescent="0.4">
      <c r="A26" s="10" t="s">
        <v>191</v>
      </c>
      <c r="B26" s="66" t="s">
        <v>193</v>
      </c>
      <c r="C26" s="40">
        <v>1150000000</v>
      </c>
      <c r="D26" s="66" t="s">
        <v>172</v>
      </c>
      <c r="E26" s="40">
        <f>ROUND(C26/1000000,2)*1000000</f>
        <v>1150000000</v>
      </c>
      <c r="F26" s="66" t="s">
        <v>172</v>
      </c>
    </row>
    <row r="27" spans="1:7" ht="42" x14ac:dyDescent="0.4">
      <c r="A27" s="10" t="s">
        <v>192</v>
      </c>
      <c r="B27" s="66" t="s">
        <v>194</v>
      </c>
      <c r="C27" s="40">
        <v>800000000</v>
      </c>
      <c r="D27" s="66" t="s">
        <v>172</v>
      </c>
      <c r="E27" s="40">
        <f>ROUND(C27/100000,2)*100000</f>
        <v>800000000</v>
      </c>
      <c r="F27" s="66" t="s">
        <v>172</v>
      </c>
    </row>
    <row r="28" spans="1:7" x14ac:dyDescent="0.3">
      <c r="A28" s="9" t="s">
        <v>173</v>
      </c>
      <c r="B28" s="66" t="s">
        <v>174</v>
      </c>
      <c r="C28" s="40">
        <v>750000000</v>
      </c>
      <c r="D28" s="66" t="s">
        <v>172</v>
      </c>
      <c r="E28" s="40">
        <f>ROUND(C28/100000,2)*100000</f>
        <v>750000000</v>
      </c>
      <c r="F28" s="66" t="s">
        <v>172</v>
      </c>
    </row>
    <row r="29" spans="1:7" x14ac:dyDescent="0.3">
      <c r="A29" s="6"/>
      <c r="C29" s="5"/>
      <c r="E29" s="5"/>
    </row>
    <row r="30" spans="1:7" x14ac:dyDescent="0.3">
      <c r="A30" s="6"/>
      <c r="C30" s="5"/>
      <c r="D30" s="5"/>
    </row>
    <row r="31" spans="1:7" x14ac:dyDescent="0.3">
      <c r="A31" s="6"/>
      <c r="C31" s="5"/>
      <c r="D31" s="5"/>
    </row>
    <row r="32" spans="1:7" x14ac:dyDescent="0.3">
      <c r="A32" s="6"/>
      <c r="C32" s="5"/>
      <c r="D32" s="5"/>
    </row>
    <row r="33" spans="1:2" ht="14.5" x14ac:dyDescent="0.35">
      <c r="A33" s="6"/>
      <c r="B33" s="30"/>
    </row>
  </sheetData>
  <mergeCells count="1">
    <mergeCell ref="B3:C3"/>
  </mergeCells>
  <pageMargins left="0.7" right="0.7" top="0.78740157499999996" bottom="0.78740157499999996" header="0.3" footer="0.3"/>
  <pageSetup paperSize="9" orientation="landscape" r:id="rId1"/>
  <headerFooter>
    <oddHeader>&amp;LMaster Thesis 2023/2024&amp;CSt. Lawrence Parish House,
Petrinja, Croatia&amp;R&amp;G</oddHeader>
    <oddFooter>&amp;L&amp;A&amp;CModel: Initial state&amp;R&amp;P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63F5-70B8-4234-A8F5-813F5EADF7A4}">
  <sheetPr>
    <tabColor theme="6"/>
  </sheetPr>
  <dimension ref="A1:O80"/>
  <sheetViews>
    <sheetView view="pageLayout" zoomScaleNormal="85" workbookViewId="0">
      <selection activeCell="E4" sqref="E4"/>
    </sheetView>
  </sheetViews>
  <sheetFormatPr baseColWidth="10" defaultColWidth="10.6640625" defaultRowHeight="14" x14ac:dyDescent="0.3"/>
  <cols>
    <col min="1" max="1" width="12.83203125" bestFit="1" customWidth="1"/>
    <col min="2" max="2" width="7.33203125" customWidth="1"/>
    <col min="3" max="3" width="6.75" bestFit="1" customWidth="1"/>
    <col min="4" max="4" width="6.33203125" bestFit="1" customWidth="1"/>
    <col min="5" max="5" width="9.58203125" bestFit="1" customWidth="1"/>
    <col min="6" max="6" width="9.08203125" bestFit="1" customWidth="1"/>
    <col min="7" max="7" width="9.25" bestFit="1" customWidth="1"/>
  </cols>
  <sheetData>
    <row r="1" spans="1:15" s="105" customFormat="1" ht="17" thickBot="1" x14ac:dyDescent="0.4">
      <c r="A1" s="102" t="s">
        <v>408</v>
      </c>
      <c r="B1" s="103"/>
      <c r="C1" s="104"/>
      <c r="D1" s="104"/>
      <c r="E1" s="103"/>
      <c r="F1" s="103"/>
      <c r="G1" s="103"/>
      <c r="H1"/>
      <c r="I1"/>
      <c r="J1"/>
      <c r="K1"/>
      <c r="L1"/>
      <c r="M1"/>
      <c r="N1"/>
      <c r="O1"/>
    </row>
    <row r="2" spans="1:15" x14ac:dyDescent="0.3">
      <c r="A2" s="61" t="s">
        <v>378</v>
      </c>
      <c r="B2" t="s">
        <v>379</v>
      </c>
      <c r="C2" s="25"/>
    </row>
    <row r="3" spans="1:15" x14ac:dyDescent="0.3">
      <c r="A3" s="61" t="s">
        <v>375</v>
      </c>
      <c r="B3" s="140">
        <f ca="1">TODAY()</f>
        <v>45304</v>
      </c>
      <c r="C3" s="140"/>
    </row>
    <row r="4" spans="1:15" x14ac:dyDescent="0.3">
      <c r="A4" s="61" t="s">
        <v>398</v>
      </c>
      <c r="B4" t="s">
        <v>417</v>
      </c>
      <c r="C4" s="25"/>
    </row>
    <row r="5" spans="1:15" x14ac:dyDescent="0.3">
      <c r="A5" s="61" t="s">
        <v>377</v>
      </c>
      <c r="B5" t="s">
        <v>177</v>
      </c>
      <c r="C5" s="25"/>
    </row>
    <row r="6" spans="1:15" s="6" customFormat="1" x14ac:dyDescent="0.3"/>
    <row r="7" spans="1:15" ht="14.5" thickBot="1" x14ac:dyDescent="0.35">
      <c r="A7" s="106" t="s">
        <v>322</v>
      </c>
      <c r="B7" s="106" t="s">
        <v>323</v>
      </c>
      <c r="C7" s="106" t="s">
        <v>324</v>
      </c>
      <c r="D7" s="106" t="s">
        <v>325</v>
      </c>
      <c r="E7" s="106" t="s">
        <v>326</v>
      </c>
      <c r="F7" s="106" t="s">
        <v>327</v>
      </c>
      <c r="G7" s="106" t="s">
        <v>328</v>
      </c>
    </row>
    <row r="8" spans="1:15" x14ac:dyDescent="0.3">
      <c r="A8" s="110">
        <v>1</v>
      </c>
      <c r="B8" s="25">
        <v>1338.5</v>
      </c>
      <c r="C8" s="111">
        <v>1338.5</v>
      </c>
      <c r="D8" s="112">
        <v>0</v>
      </c>
      <c r="E8" s="112">
        <v>141.4</v>
      </c>
      <c r="F8" s="112">
        <v>1589.1</v>
      </c>
      <c r="G8" s="112">
        <v>1447.7</v>
      </c>
      <c r="N8" s="29"/>
    </row>
    <row r="9" spans="1:15" x14ac:dyDescent="0.3">
      <c r="A9" s="66">
        <v>2</v>
      </c>
      <c r="B9" s="65">
        <v>1608.8</v>
      </c>
      <c r="C9" s="65">
        <v>1608.8</v>
      </c>
      <c r="D9" s="65">
        <v>0</v>
      </c>
      <c r="E9" s="65">
        <v>169.9</v>
      </c>
      <c r="F9" s="65">
        <v>849.6</v>
      </c>
      <c r="G9" s="65">
        <v>679.7</v>
      </c>
    </row>
    <row r="10" spans="1:15" x14ac:dyDescent="0.3">
      <c r="A10" s="66">
        <v>3</v>
      </c>
      <c r="B10" s="65">
        <v>2246.4</v>
      </c>
      <c r="C10" s="65">
        <v>2246.4</v>
      </c>
      <c r="D10" s="65">
        <v>0</v>
      </c>
      <c r="E10" s="65">
        <v>237.3</v>
      </c>
      <c r="F10" s="65">
        <v>237.3</v>
      </c>
      <c r="G10" s="65">
        <v>0</v>
      </c>
    </row>
    <row r="11" spans="1:15" x14ac:dyDescent="0.3">
      <c r="A11" s="66">
        <v>5</v>
      </c>
      <c r="B11" s="65">
        <v>1608.8</v>
      </c>
      <c r="C11" s="65">
        <v>1608.8</v>
      </c>
      <c r="D11" s="65">
        <v>0</v>
      </c>
      <c r="E11" s="65">
        <v>169.9</v>
      </c>
      <c r="F11" s="65">
        <v>849.6</v>
      </c>
      <c r="G11" s="65">
        <v>679.7</v>
      </c>
    </row>
    <row r="12" spans="1:15" x14ac:dyDescent="0.3">
      <c r="A12" s="66">
        <v>6</v>
      </c>
      <c r="B12" s="65">
        <v>1338.5</v>
      </c>
      <c r="C12" s="65">
        <v>1338.5</v>
      </c>
      <c r="D12" s="65">
        <v>0</v>
      </c>
      <c r="E12" s="65">
        <v>141.4</v>
      </c>
      <c r="F12" s="65">
        <v>1589.1</v>
      </c>
      <c r="G12" s="65">
        <v>1447.7</v>
      </c>
    </row>
    <row r="13" spans="1:15" x14ac:dyDescent="0.3">
      <c r="A13" s="66">
        <v>7</v>
      </c>
      <c r="B13" s="65">
        <v>3481.9</v>
      </c>
      <c r="C13" s="65">
        <v>3481.9</v>
      </c>
      <c r="D13" s="65">
        <v>0</v>
      </c>
      <c r="E13" s="65">
        <v>263.3</v>
      </c>
      <c r="F13" s="65">
        <v>4029.4</v>
      </c>
      <c r="G13" s="65">
        <v>3766</v>
      </c>
    </row>
    <row r="14" spans="1:15" x14ac:dyDescent="0.3">
      <c r="A14" s="66">
        <v>8</v>
      </c>
      <c r="B14" s="65">
        <v>4185</v>
      </c>
      <c r="C14" s="65">
        <v>4185</v>
      </c>
      <c r="D14" s="65">
        <v>0</v>
      </c>
      <c r="E14" s="65">
        <v>316.5</v>
      </c>
      <c r="F14" s="65">
        <v>2084.6999999999998</v>
      </c>
      <c r="G14" s="65">
        <v>1768.2</v>
      </c>
    </row>
    <row r="15" spans="1:15" x14ac:dyDescent="0.3">
      <c r="A15" s="66">
        <v>9</v>
      </c>
      <c r="B15" s="65">
        <v>5356.8</v>
      </c>
      <c r="C15" s="65">
        <v>5356.8</v>
      </c>
      <c r="D15" s="65">
        <v>0</v>
      </c>
      <c r="E15" s="65">
        <v>405.1</v>
      </c>
      <c r="F15" s="65">
        <v>405.1</v>
      </c>
      <c r="G15" s="65">
        <v>0</v>
      </c>
    </row>
    <row r="16" spans="1:15" x14ac:dyDescent="0.3">
      <c r="A16" s="66">
        <v>11</v>
      </c>
      <c r="B16" s="65">
        <v>4185</v>
      </c>
      <c r="C16" s="65">
        <v>4185</v>
      </c>
      <c r="D16" s="65">
        <v>0</v>
      </c>
      <c r="E16" s="65">
        <v>316.5</v>
      </c>
      <c r="F16" s="65">
        <v>2084.6999999999998</v>
      </c>
      <c r="G16" s="65">
        <v>1768.2</v>
      </c>
      <c r="J16" s="1"/>
    </row>
    <row r="17" spans="1:14" x14ac:dyDescent="0.3">
      <c r="A17" s="66">
        <v>12</v>
      </c>
      <c r="B17" s="65">
        <v>3481.9</v>
      </c>
      <c r="C17" s="65">
        <v>3481.9</v>
      </c>
      <c r="D17" s="65">
        <v>0</v>
      </c>
      <c r="E17" s="65">
        <v>263.3</v>
      </c>
      <c r="F17" s="65">
        <v>4029.4</v>
      </c>
      <c r="G17" s="65">
        <v>3766</v>
      </c>
    </row>
    <row r="18" spans="1:14" x14ac:dyDescent="0.3">
      <c r="A18" s="66">
        <v>13</v>
      </c>
      <c r="B18" s="65">
        <v>2096.6</v>
      </c>
      <c r="C18" s="65">
        <v>2096.6</v>
      </c>
      <c r="D18" s="65">
        <v>0</v>
      </c>
      <c r="E18" s="65">
        <v>335.5</v>
      </c>
      <c r="F18" s="65">
        <v>2603.1999999999998</v>
      </c>
      <c r="G18" s="65">
        <v>2267.6999999999998</v>
      </c>
    </row>
    <row r="19" spans="1:14" x14ac:dyDescent="0.3">
      <c r="A19" s="66">
        <v>14</v>
      </c>
      <c r="B19" s="65">
        <v>2520</v>
      </c>
      <c r="C19" s="65">
        <v>2520</v>
      </c>
      <c r="D19" s="65">
        <v>0</v>
      </c>
      <c r="E19" s="65">
        <v>403.2</v>
      </c>
      <c r="F19" s="65">
        <v>1467.9</v>
      </c>
      <c r="G19" s="65">
        <v>1064.7</v>
      </c>
    </row>
    <row r="20" spans="1:14" x14ac:dyDescent="0.3">
      <c r="A20" s="66">
        <v>17</v>
      </c>
      <c r="B20" s="65">
        <v>2520</v>
      </c>
      <c r="C20" s="65">
        <v>2520</v>
      </c>
      <c r="D20" s="65">
        <v>0</v>
      </c>
      <c r="E20" s="65">
        <v>403.2</v>
      </c>
      <c r="F20" s="65">
        <v>1467.9</v>
      </c>
      <c r="G20" s="65">
        <v>1064.7</v>
      </c>
      <c r="N20" s="29"/>
    </row>
    <row r="21" spans="1:14" x14ac:dyDescent="0.3">
      <c r="A21" s="66">
        <v>18</v>
      </c>
      <c r="B21" s="65">
        <v>2096.6</v>
      </c>
      <c r="C21" s="65">
        <v>2096.6</v>
      </c>
      <c r="D21" s="65">
        <v>0</v>
      </c>
      <c r="E21" s="65">
        <v>335.5</v>
      </c>
      <c r="F21" s="65">
        <v>2603.1999999999998</v>
      </c>
      <c r="G21" s="65">
        <v>2267.6999999999998</v>
      </c>
    </row>
    <row r="22" spans="1:14" x14ac:dyDescent="0.3">
      <c r="A22" s="66">
        <v>19</v>
      </c>
      <c r="B22" s="65">
        <v>1467.2</v>
      </c>
      <c r="C22" s="65">
        <v>1467.2</v>
      </c>
      <c r="D22" s="65">
        <v>0</v>
      </c>
      <c r="E22" s="65">
        <v>378.1</v>
      </c>
      <c r="F22" s="65">
        <v>155</v>
      </c>
      <c r="G22" s="65">
        <v>223.2</v>
      </c>
    </row>
    <row r="23" spans="1:14" x14ac:dyDescent="0.3">
      <c r="A23" s="66">
        <v>20</v>
      </c>
      <c r="B23" s="65">
        <v>2831.4</v>
      </c>
      <c r="C23" s="65">
        <v>2831.4</v>
      </c>
      <c r="D23" s="65">
        <v>0</v>
      </c>
      <c r="E23" s="65">
        <v>306.10000000000002</v>
      </c>
      <c r="F23" s="65">
        <v>299.10000000000002</v>
      </c>
      <c r="G23" s="65">
        <v>7.1</v>
      </c>
    </row>
    <row r="24" spans="1:14" x14ac:dyDescent="0.3">
      <c r="A24" s="66">
        <v>21</v>
      </c>
      <c r="B24" s="65">
        <v>1467.2</v>
      </c>
      <c r="C24" s="65">
        <v>1467.2</v>
      </c>
      <c r="D24" s="65">
        <v>0</v>
      </c>
      <c r="E24" s="65">
        <v>2061.6999999999998</v>
      </c>
      <c r="F24" s="65">
        <v>155</v>
      </c>
      <c r="G24" s="65">
        <v>1906.7</v>
      </c>
    </row>
    <row r="25" spans="1:14" x14ac:dyDescent="0.3">
      <c r="A25" s="66">
        <v>22</v>
      </c>
      <c r="B25" s="65">
        <v>3816.7</v>
      </c>
      <c r="C25" s="65">
        <v>3816.7</v>
      </c>
      <c r="D25" s="65">
        <v>0</v>
      </c>
      <c r="E25" s="65">
        <v>869.2</v>
      </c>
      <c r="F25" s="65">
        <v>288.60000000000002</v>
      </c>
      <c r="G25" s="65">
        <v>580.5</v>
      </c>
    </row>
    <row r="26" spans="1:14" x14ac:dyDescent="0.3">
      <c r="A26" s="66">
        <v>23</v>
      </c>
      <c r="B26" s="65">
        <v>7365.6</v>
      </c>
      <c r="C26" s="65">
        <v>7365.6</v>
      </c>
      <c r="D26" s="65">
        <v>0</v>
      </c>
      <c r="E26" s="65">
        <v>575.4</v>
      </c>
      <c r="F26" s="65">
        <v>557</v>
      </c>
      <c r="G26" s="65">
        <v>18.399999999999999</v>
      </c>
    </row>
    <row r="27" spans="1:14" x14ac:dyDescent="0.3">
      <c r="A27" s="66">
        <v>24</v>
      </c>
      <c r="B27" s="65">
        <v>3816.7</v>
      </c>
      <c r="C27" s="65">
        <v>3816.7</v>
      </c>
      <c r="D27" s="65">
        <v>0</v>
      </c>
      <c r="E27" s="65">
        <v>5248.8</v>
      </c>
      <c r="F27" s="65">
        <v>288.60000000000002</v>
      </c>
      <c r="G27" s="65">
        <v>4960.2</v>
      </c>
    </row>
    <row r="28" spans="1:14" x14ac:dyDescent="0.3">
      <c r="A28" s="66">
        <v>27</v>
      </c>
      <c r="B28" s="65">
        <v>2298.1999999999998</v>
      </c>
      <c r="C28" s="65">
        <v>2298.1999999999998</v>
      </c>
      <c r="D28" s="65">
        <v>0</v>
      </c>
      <c r="E28" s="65">
        <v>3354.5</v>
      </c>
      <c r="F28" s="65">
        <v>367.7</v>
      </c>
      <c r="G28" s="65">
        <v>2986.8</v>
      </c>
    </row>
    <row r="29" spans="1:14" x14ac:dyDescent="0.3">
      <c r="A29" s="66">
        <v>28</v>
      </c>
      <c r="B29" s="65">
        <v>1737.5</v>
      </c>
      <c r="C29" s="65">
        <v>1737.5</v>
      </c>
      <c r="D29" s="65">
        <v>0</v>
      </c>
      <c r="E29" s="65">
        <v>183.5</v>
      </c>
      <c r="F29" s="65">
        <v>709.1</v>
      </c>
      <c r="G29" s="65">
        <v>525.6</v>
      </c>
      <c r="J29" s="1"/>
    </row>
    <row r="30" spans="1:14" x14ac:dyDescent="0.3">
      <c r="A30" s="66">
        <v>29</v>
      </c>
      <c r="B30" s="65">
        <v>1801.8</v>
      </c>
      <c r="C30" s="65">
        <v>1801.8</v>
      </c>
      <c r="D30" s="65">
        <v>0</v>
      </c>
      <c r="E30" s="65">
        <v>190.3</v>
      </c>
      <c r="F30" s="65">
        <v>1649.8</v>
      </c>
      <c r="G30" s="65">
        <v>1459.5</v>
      </c>
    </row>
    <row r="31" spans="1:14" x14ac:dyDescent="0.3">
      <c r="A31" s="66">
        <v>30</v>
      </c>
      <c r="B31" s="65">
        <v>1737.5</v>
      </c>
      <c r="C31" s="65">
        <v>1737.5</v>
      </c>
      <c r="D31" s="65">
        <v>0</v>
      </c>
      <c r="E31" s="65">
        <v>183.5</v>
      </c>
      <c r="F31" s="65">
        <v>709.1</v>
      </c>
      <c r="G31" s="65">
        <v>525.6</v>
      </c>
    </row>
    <row r="32" spans="1:14" x14ac:dyDescent="0.3">
      <c r="A32" s="66">
        <v>31</v>
      </c>
      <c r="B32" s="65">
        <v>1338.5</v>
      </c>
      <c r="C32" s="65">
        <v>1338.5</v>
      </c>
      <c r="D32" s="65">
        <v>0</v>
      </c>
      <c r="E32" s="65">
        <v>141.4</v>
      </c>
      <c r="F32" s="65">
        <v>1589.1</v>
      </c>
      <c r="G32" s="65">
        <v>1447.7</v>
      </c>
    </row>
    <row r="33" spans="1:7" x14ac:dyDescent="0.3">
      <c r="A33" s="66">
        <v>32</v>
      </c>
      <c r="B33" s="65">
        <v>4519.8</v>
      </c>
      <c r="C33" s="65">
        <v>4519.8</v>
      </c>
      <c r="D33" s="65">
        <v>0</v>
      </c>
      <c r="E33" s="65">
        <v>341.8</v>
      </c>
      <c r="F33" s="65">
        <v>1709</v>
      </c>
      <c r="G33" s="65">
        <v>1367.2</v>
      </c>
    </row>
    <row r="34" spans="1:7" x14ac:dyDescent="0.3">
      <c r="A34" s="66">
        <v>33</v>
      </c>
      <c r="B34" s="65">
        <v>4687.2</v>
      </c>
      <c r="C34" s="65">
        <v>4687.2</v>
      </c>
      <c r="D34" s="65">
        <v>0</v>
      </c>
      <c r="E34" s="65">
        <v>354.5</v>
      </c>
      <c r="F34" s="65">
        <v>4151.1000000000004</v>
      </c>
      <c r="G34" s="65">
        <v>3796.6</v>
      </c>
    </row>
    <row r="35" spans="1:7" x14ac:dyDescent="0.3">
      <c r="A35" s="66">
        <v>34</v>
      </c>
      <c r="B35" s="65">
        <v>4519.8</v>
      </c>
      <c r="C35" s="65">
        <v>4519.8</v>
      </c>
      <c r="D35" s="65">
        <v>0</v>
      </c>
      <c r="E35" s="65">
        <v>341.8</v>
      </c>
      <c r="F35" s="65">
        <v>1709</v>
      </c>
      <c r="G35" s="65">
        <v>1367.2</v>
      </c>
    </row>
    <row r="36" spans="1:7" x14ac:dyDescent="0.3">
      <c r="A36" s="66">
        <v>35</v>
      </c>
      <c r="B36" s="65">
        <v>3481.9</v>
      </c>
      <c r="C36" s="65">
        <v>3481.9</v>
      </c>
      <c r="D36" s="65">
        <v>0</v>
      </c>
      <c r="E36" s="65">
        <v>263.3</v>
      </c>
      <c r="F36" s="65">
        <v>4029.4</v>
      </c>
      <c r="G36" s="65">
        <v>3766</v>
      </c>
    </row>
    <row r="37" spans="1:7" x14ac:dyDescent="0.3">
      <c r="A37" s="66">
        <v>36</v>
      </c>
      <c r="B37" s="65">
        <v>2721.6</v>
      </c>
      <c r="C37" s="65">
        <v>2721.6</v>
      </c>
      <c r="D37" s="65">
        <v>0</v>
      </c>
      <c r="E37" s="65">
        <v>435.5</v>
      </c>
      <c r="F37" s="65">
        <v>1258.7</v>
      </c>
      <c r="G37" s="65">
        <v>823.3</v>
      </c>
    </row>
    <row r="38" spans="1:7" x14ac:dyDescent="0.3">
      <c r="A38" s="66">
        <v>37</v>
      </c>
      <c r="B38" s="65">
        <v>2822.4</v>
      </c>
      <c r="C38" s="65">
        <v>2822.4</v>
      </c>
      <c r="D38" s="65">
        <v>0</v>
      </c>
      <c r="E38" s="65">
        <v>451.6</v>
      </c>
      <c r="F38" s="65">
        <v>2737.7</v>
      </c>
      <c r="G38" s="65">
        <v>2286.1</v>
      </c>
    </row>
    <row r="39" spans="1:7" x14ac:dyDescent="0.3">
      <c r="A39" s="66">
        <v>38</v>
      </c>
      <c r="B39" s="65">
        <v>2721.6</v>
      </c>
      <c r="C39" s="65">
        <v>2721.6</v>
      </c>
      <c r="D39" s="65">
        <v>0</v>
      </c>
      <c r="E39" s="65">
        <v>435.5</v>
      </c>
      <c r="F39" s="65">
        <v>1258.7</v>
      </c>
      <c r="G39" s="65">
        <v>823.3</v>
      </c>
    </row>
    <row r="40" spans="1:7" x14ac:dyDescent="0.3">
      <c r="A40" s="66">
        <v>39</v>
      </c>
      <c r="B40" s="65">
        <v>2096.6</v>
      </c>
      <c r="C40" s="65">
        <v>2096.6</v>
      </c>
      <c r="D40" s="65">
        <v>0</v>
      </c>
      <c r="E40" s="65">
        <v>335.5</v>
      </c>
      <c r="F40" s="65">
        <v>2603.1999999999998</v>
      </c>
      <c r="G40" s="65">
        <v>2267.6999999999998</v>
      </c>
    </row>
    <row r="41" spans="1:7" x14ac:dyDescent="0.3">
      <c r="A41" s="66">
        <v>40</v>
      </c>
      <c r="B41" s="65">
        <v>2831.4</v>
      </c>
      <c r="C41" s="65">
        <v>2831.4</v>
      </c>
      <c r="D41" s="65">
        <v>0</v>
      </c>
      <c r="E41" s="65">
        <v>306.10000000000002</v>
      </c>
      <c r="F41" s="65">
        <v>299.10000000000002</v>
      </c>
      <c r="G41" s="65">
        <v>7.1</v>
      </c>
    </row>
    <row r="42" spans="1:7" x14ac:dyDescent="0.3">
      <c r="A42" s="66">
        <v>41</v>
      </c>
      <c r="B42" s="65">
        <v>7365.6</v>
      </c>
      <c r="C42" s="65">
        <v>7365.6</v>
      </c>
      <c r="D42" s="65">
        <v>0</v>
      </c>
      <c r="E42" s="65">
        <v>575.4</v>
      </c>
      <c r="F42" s="65">
        <v>557</v>
      </c>
      <c r="G42" s="65">
        <v>18.399999999999999</v>
      </c>
    </row>
    <row r="43" spans="1:7" x14ac:dyDescent="0.3">
      <c r="A43" s="66">
        <v>42</v>
      </c>
      <c r="B43" s="65">
        <v>4435.2</v>
      </c>
      <c r="C43" s="65">
        <v>4435.2</v>
      </c>
      <c r="D43" s="65">
        <v>0</v>
      </c>
      <c r="E43" s="65">
        <v>720.7</v>
      </c>
      <c r="F43" s="65">
        <v>709.6</v>
      </c>
      <c r="G43" s="65">
        <v>11.1</v>
      </c>
    </row>
    <row r="44" spans="1:7" x14ac:dyDescent="0.3">
      <c r="A44" s="66">
        <v>43</v>
      </c>
      <c r="B44" s="65">
        <v>2881.4</v>
      </c>
      <c r="C44" s="65">
        <v>2881.4</v>
      </c>
      <c r="D44" s="65">
        <v>0</v>
      </c>
      <c r="E44" s="65">
        <v>952.7</v>
      </c>
      <c r="F44" s="65">
        <v>1437</v>
      </c>
      <c r="G44" s="65">
        <v>484.4</v>
      </c>
    </row>
    <row r="45" spans="1:7" x14ac:dyDescent="0.3">
      <c r="A45" s="66">
        <v>44</v>
      </c>
      <c r="B45" s="65">
        <v>2202.5</v>
      </c>
      <c r="C45" s="65">
        <v>2202.5</v>
      </c>
      <c r="D45" s="65">
        <v>0</v>
      </c>
      <c r="E45" s="65">
        <v>728.2</v>
      </c>
      <c r="F45" s="65">
        <v>2209.1</v>
      </c>
      <c r="G45" s="65">
        <v>1480.9</v>
      </c>
    </row>
    <row r="46" spans="1:7" x14ac:dyDescent="0.3">
      <c r="A46" s="66">
        <v>45</v>
      </c>
      <c r="B46" s="65">
        <v>1275.0999999999999</v>
      </c>
      <c r="C46" s="65">
        <v>1275.0999999999999</v>
      </c>
      <c r="D46" s="65">
        <v>0</v>
      </c>
      <c r="E46" s="65">
        <v>421.6</v>
      </c>
      <c r="F46" s="65">
        <v>691.4</v>
      </c>
      <c r="G46" s="65">
        <v>269.8</v>
      </c>
    </row>
    <row r="47" spans="1:7" x14ac:dyDescent="0.3">
      <c r="A47" s="66">
        <v>46</v>
      </c>
      <c r="B47" s="65">
        <v>3570.5</v>
      </c>
      <c r="C47" s="65">
        <v>3570.5</v>
      </c>
      <c r="D47" s="65">
        <v>0</v>
      </c>
      <c r="E47" s="65">
        <v>180.8</v>
      </c>
      <c r="F47" s="65">
        <v>781</v>
      </c>
      <c r="G47" s="65">
        <v>600.20000000000005</v>
      </c>
    </row>
    <row r="48" spans="1:7" x14ac:dyDescent="0.3">
      <c r="A48" s="66">
        <v>47</v>
      </c>
      <c r="B48" s="65">
        <v>2729.2</v>
      </c>
      <c r="C48" s="65">
        <v>2729.2</v>
      </c>
      <c r="D48" s="65">
        <v>0</v>
      </c>
      <c r="E48" s="65">
        <v>138.19999999999999</v>
      </c>
      <c r="F48" s="65">
        <v>1973.3</v>
      </c>
      <c r="G48" s="65">
        <v>1835.1</v>
      </c>
    </row>
    <row r="49" spans="1:7" x14ac:dyDescent="0.3">
      <c r="A49" s="66">
        <v>48</v>
      </c>
      <c r="B49" s="65">
        <v>1580</v>
      </c>
      <c r="C49" s="65">
        <v>1580</v>
      </c>
      <c r="D49" s="65">
        <v>0</v>
      </c>
      <c r="E49" s="65">
        <v>80</v>
      </c>
      <c r="F49" s="65">
        <v>414.3</v>
      </c>
      <c r="G49" s="65">
        <v>334.3</v>
      </c>
    </row>
    <row r="50" spans="1:7" x14ac:dyDescent="0.3">
      <c r="A50" s="66">
        <v>52</v>
      </c>
      <c r="B50" s="65">
        <v>952.2</v>
      </c>
      <c r="C50" s="65">
        <v>952.2</v>
      </c>
      <c r="D50" s="65">
        <v>0</v>
      </c>
      <c r="E50" s="65">
        <v>448.7</v>
      </c>
      <c r="F50" s="65">
        <v>314.8</v>
      </c>
      <c r="G50" s="65">
        <v>133.9</v>
      </c>
    </row>
    <row r="51" spans="1:7" x14ac:dyDescent="0.3">
      <c r="A51" s="66">
        <v>53</v>
      </c>
      <c r="B51" s="65">
        <v>983.2</v>
      </c>
      <c r="C51" s="65">
        <v>983.2</v>
      </c>
      <c r="D51" s="65">
        <v>0</v>
      </c>
      <c r="E51" s="65">
        <v>188</v>
      </c>
      <c r="F51" s="65">
        <v>49.8</v>
      </c>
      <c r="G51" s="65">
        <v>138.30000000000001</v>
      </c>
    </row>
    <row r="52" spans="1:7" x14ac:dyDescent="0.3">
      <c r="A52" s="66">
        <v>58</v>
      </c>
      <c r="B52" s="65">
        <v>1467.2</v>
      </c>
      <c r="C52" s="65">
        <v>1467.2</v>
      </c>
      <c r="D52" s="65">
        <v>0</v>
      </c>
      <c r="E52" s="65">
        <v>2061.6999999999998</v>
      </c>
      <c r="F52" s="65">
        <v>155</v>
      </c>
      <c r="G52" s="65">
        <v>1906.7</v>
      </c>
    </row>
    <row r="53" spans="1:7" x14ac:dyDescent="0.3">
      <c r="A53" s="66">
        <v>59</v>
      </c>
      <c r="B53" s="65">
        <v>505.1</v>
      </c>
      <c r="C53" s="65">
        <v>505.1</v>
      </c>
      <c r="D53" s="65">
        <v>0</v>
      </c>
      <c r="E53" s="65">
        <v>214</v>
      </c>
      <c r="F53" s="65">
        <v>167</v>
      </c>
      <c r="G53" s="65">
        <v>47</v>
      </c>
    </row>
    <row r="54" spans="1:7" x14ac:dyDescent="0.3">
      <c r="A54" s="66">
        <v>60</v>
      </c>
      <c r="B54" s="65">
        <v>356</v>
      </c>
      <c r="C54" s="65">
        <v>356</v>
      </c>
      <c r="D54" s="65">
        <v>0</v>
      </c>
      <c r="E54" s="65">
        <v>134.19999999999999</v>
      </c>
      <c r="F54" s="65">
        <v>117.7</v>
      </c>
      <c r="G54" s="65">
        <v>16.5</v>
      </c>
    </row>
    <row r="55" spans="1:7" x14ac:dyDescent="0.3">
      <c r="A55" s="68">
        <v>62</v>
      </c>
      <c r="B55" s="65">
        <v>3816.7</v>
      </c>
      <c r="C55" s="65">
        <v>3816.7</v>
      </c>
      <c r="D55" s="65">
        <v>0</v>
      </c>
      <c r="E55" s="65">
        <v>5248.8</v>
      </c>
      <c r="F55" s="65">
        <v>288.60000000000002</v>
      </c>
      <c r="G55" s="65">
        <v>4960.2</v>
      </c>
    </row>
    <row r="56" spans="1:7" x14ac:dyDescent="0.3">
      <c r="A56" s="68">
        <v>63</v>
      </c>
      <c r="B56" s="65">
        <v>573.70000000000005</v>
      </c>
      <c r="C56" s="65">
        <v>573.70000000000005</v>
      </c>
      <c r="D56" s="65">
        <v>0</v>
      </c>
      <c r="E56" s="65">
        <v>82.4</v>
      </c>
      <c r="F56" s="65">
        <v>29</v>
      </c>
      <c r="G56" s="65">
        <v>53.4</v>
      </c>
    </row>
    <row r="57" spans="1:7" x14ac:dyDescent="0.3">
      <c r="A57" s="68">
        <v>64</v>
      </c>
      <c r="B57" s="65">
        <v>367.6</v>
      </c>
      <c r="C57" s="65">
        <v>367.6</v>
      </c>
      <c r="D57" s="65">
        <v>0</v>
      </c>
      <c r="E57" s="65">
        <v>35.6</v>
      </c>
      <c r="F57" s="65">
        <v>18.600000000000001</v>
      </c>
      <c r="G57" s="65">
        <v>17</v>
      </c>
    </row>
    <row r="58" spans="1:7" x14ac:dyDescent="0.3">
      <c r="A58" s="68">
        <v>66</v>
      </c>
      <c r="B58" s="65">
        <v>2298.1999999999998</v>
      </c>
      <c r="C58" s="65">
        <v>2298.1999999999998</v>
      </c>
      <c r="D58" s="65">
        <v>0</v>
      </c>
      <c r="E58" s="65">
        <v>3354.5</v>
      </c>
      <c r="F58" s="65">
        <v>367.7</v>
      </c>
      <c r="G58" s="65">
        <v>2986.8</v>
      </c>
    </row>
    <row r="59" spans="1:7" x14ac:dyDescent="0.3">
      <c r="A59" s="68">
        <v>70</v>
      </c>
      <c r="B59" s="65">
        <v>2881.4</v>
      </c>
      <c r="C59" s="65">
        <v>2881.4</v>
      </c>
      <c r="D59" s="65">
        <v>0</v>
      </c>
      <c r="E59" s="65">
        <v>952.7</v>
      </c>
      <c r="F59" s="65">
        <v>9676.5</v>
      </c>
      <c r="G59" s="65">
        <v>8723.7999999999993</v>
      </c>
    </row>
    <row r="60" spans="1:7" x14ac:dyDescent="0.3">
      <c r="A60" s="68">
        <v>71</v>
      </c>
      <c r="B60" s="65">
        <v>2235.6</v>
      </c>
      <c r="C60" s="65">
        <v>2235.6</v>
      </c>
      <c r="D60" s="65">
        <v>0</v>
      </c>
      <c r="E60" s="65">
        <v>739.1</v>
      </c>
      <c r="F60" s="65">
        <v>4813.5</v>
      </c>
      <c r="G60" s="65">
        <v>4074.4</v>
      </c>
    </row>
    <row r="61" spans="1:7" x14ac:dyDescent="0.3">
      <c r="A61" s="68">
        <v>72</v>
      </c>
      <c r="B61" s="65">
        <v>1338.5</v>
      </c>
      <c r="C61" s="65">
        <v>1338.5</v>
      </c>
      <c r="D61" s="65">
        <v>0</v>
      </c>
      <c r="E61" s="65">
        <v>141.4</v>
      </c>
      <c r="F61" s="65">
        <v>1589.1</v>
      </c>
      <c r="G61" s="65">
        <v>1447.7</v>
      </c>
    </row>
    <row r="62" spans="1:7" x14ac:dyDescent="0.3">
      <c r="A62" s="68">
        <v>73</v>
      </c>
      <c r="B62" s="65">
        <v>2380.3000000000002</v>
      </c>
      <c r="C62" s="65">
        <v>2380.3000000000002</v>
      </c>
      <c r="D62" s="65">
        <v>0</v>
      </c>
      <c r="E62" s="65">
        <v>120.5</v>
      </c>
      <c r="F62" s="65">
        <v>7327.2</v>
      </c>
      <c r="G62" s="65">
        <v>7206.7</v>
      </c>
    </row>
    <row r="63" spans="1:7" x14ac:dyDescent="0.3">
      <c r="A63" s="68">
        <v>74</v>
      </c>
      <c r="B63" s="65">
        <v>2539.4</v>
      </c>
      <c r="C63" s="65">
        <v>2539.4</v>
      </c>
      <c r="D63" s="65">
        <v>0</v>
      </c>
      <c r="E63" s="65">
        <v>128.6</v>
      </c>
      <c r="F63" s="65">
        <v>4756.5</v>
      </c>
      <c r="G63" s="65">
        <v>4628</v>
      </c>
    </row>
    <row r="64" spans="1:7" x14ac:dyDescent="0.3">
      <c r="A64" s="68">
        <v>75</v>
      </c>
      <c r="B64" s="65">
        <v>3481.9</v>
      </c>
      <c r="C64" s="65">
        <v>3481.9</v>
      </c>
      <c r="D64" s="65">
        <v>0</v>
      </c>
      <c r="E64" s="65">
        <v>263.3</v>
      </c>
      <c r="F64" s="65">
        <v>4029.4</v>
      </c>
      <c r="G64" s="65">
        <v>3766</v>
      </c>
    </row>
    <row r="65" spans="1:7" x14ac:dyDescent="0.3">
      <c r="A65" s="68">
        <v>78</v>
      </c>
      <c r="B65" s="65">
        <v>2096.6</v>
      </c>
      <c r="C65" s="65">
        <v>2096.6</v>
      </c>
      <c r="D65" s="65">
        <v>0</v>
      </c>
      <c r="E65" s="65">
        <v>335.5</v>
      </c>
      <c r="F65" s="65">
        <v>2603.1999999999998</v>
      </c>
      <c r="G65" s="65">
        <v>2267.6999999999998</v>
      </c>
    </row>
    <row r="66" spans="1:7" x14ac:dyDescent="0.3">
      <c r="A66" s="68">
        <v>79</v>
      </c>
      <c r="B66" s="65">
        <v>1846.4</v>
      </c>
      <c r="C66" s="65">
        <v>1846.4</v>
      </c>
      <c r="D66" s="65">
        <v>0</v>
      </c>
      <c r="E66" s="65">
        <v>2906</v>
      </c>
      <c r="F66" s="65">
        <v>610.5</v>
      </c>
      <c r="G66" s="65">
        <v>2295.5</v>
      </c>
    </row>
    <row r="67" spans="1:7" x14ac:dyDescent="0.3">
      <c r="A67" s="68">
        <v>80</v>
      </c>
      <c r="B67" s="65">
        <v>1846.4</v>
      </c>
      <c r="C67" s="65">
        <v>1846.4</v>
      </c>
      <c r="D67" s="65">
        <v>0</v>
      </c>
      <c r="E67" s="65">
        <v>2906</v>
      </c>
      <c r="F67" s="65">
        <v>610.5</v>
      </c>
      <c r="G67" s="65">
        <v>2295.5</v>
      </c>
    </row>
    <row r="68" spans="1:7" x14ac:dyDescent="0.3">
      <c r="A68" s="68">
        <v>81</v>
      </c>
      <c r="B68" s="65">
        <v>1467.2</v>
      </c>
      <c r="C68" s="65">
        <v>1467.2</v>
      </c>
      <c r="D68" s="65">
        <v>0</v>
      </c>
      <c r="E68" s="65">
        <v>2061.6999999999998</v>
      </c>
      <c r="F68" s="65">
        <v>155</v>
      </c>
      <c r="G68" s="65">
        <v>1906.7</v>
      </c>
    </row>
    <row r="69" spans="1:7" x14ac:dyDescent="0.3">
      <c r="A69" s="68">
        <v>82</v>
      </c>
      <c r="B69" s="65">
        <v>1906.7</v>
      </c>
      <c r="C69" s="65">
        <v>1906.7</v>
      </c>
      <c r="D69" s="65">
        <v>0</v>
      </c>
      <c r="E69" s="65">
        <v>2466.9</v>
      </c>
      <c r="F69" s="65">
        <v>96.5</v>
      </c>
      <c r="G69" s="65">
        <v>2370.4</v>
      </c>
    </row>
    <row r="70" spans="1:7" x14ac:dyDescent="0.3">
      <c r="A70" s="68">
        <v>83</v>
      </c>
      <c r="B70" s="65">
        <v>1906.7</v>
      </c>
      <c r="C70" s="65">
        <v>1906.7</v>
      </c>
      <c r="D70" s="65">
        <v>0</v>
      </c>
      <c r="E70" s="65">
        <v>2466.9</v>
      </c>
      <c r="F70" s="65">
        <v>96.5</v>
      </c>
      <c r="G70" s="65">
        <v>2370.4</v>
      </c>
    </row>
    <row r="71" spans="1:7" x14ac:dyDescent="0.3">
      <c r="A71" s="68">
        <v>84</v>
      </c>
      <c r="B71" s="65">
        <v>3816.7</v>
      </c>
      <c r="C71" s="65">
        <v>3816.7</v>
      </c>
      <c r="D71" s="65">
        <v>0</v>
      </c>
      <c r="E71" s="65">
        <v>5248.8</v>
      </c>
      <c r="F71" s="65">
        <v>288.60000000000002</v>
      </c>
      <c r="G71" s="65">
        <v>4960.2</v>
      </c>
    </row>
    <row r="72" spans="1:7" x14ac:dyDescent="0.3">
      <c r="A72" s="68">
        <v>87</v>
      </c>
      <c r="B72" s="65">
        <v>2298.1999999999998</v>
      </c>
      <c r="C72" s="65">
        <v>2298.1999999999998</v>
      </c>
      <c r="D72" s="65">
        <v>0</v>
      </c>
      <c r="E72" s="65">
        <v>3354.5</v>
      </c>
      <c r="F72" s="65">
        <v>367.7</v>
      </c>
      <c r="G72" s="65">
        <v>2986.8</v>
      </c>
    </row>
    <row r="73" spans="1:7" x14ac:dyDescent="0.3">
      <c r="A73" s="68">
        <v>88</v>
      </c>
      <c r="B73" s="65">
        <v>2318.4</v>
      </c>
      <c r="C73" s="65">
        <v>2318.4</v>
      </c>
      <c r="D73" s="65">
        <v>0</v>
      </c>
      <c r="E73" s="65">
        <v>766.5</v>
      </c>
      <c r="F73" s="65">
        <v>5310.6</v>
      </c>
      <c r="G73" s="65">
        <v>4544.1000000000004</v>
      </c>
    </row>
    <row r="74" spans="1:7" x14ac:dyDescent="0.3">
      <c r="A74" s="68">
        <v>89</v>
      </c>
      <c r="B74" s="65">
        <v>2842.6</v>
      </c>
      <c r="C74" s="65">
        <v>2842.6</v>
      </c>
      <c r="D74" s="65">
        <v>0</v>
      </c>
      <c r="E74" s="65">
        <v>150.4</v>
      </c>
      <c r="F74" s="65">
        <v>5721.8</v>
      </c>
      <c r="G74" s="65">
        <v>5571.4</v>
      </c>
    </row>
    <row r="75" spans="1:7" x14ac:dyDescent="0.3">
      <c r="A75" s="68">
        <v>91</v>
      </c>
      <c r="B75" s="65">
        <v>4852.1000000000004</v>
      </c>
      <c r="C75" s="65">
        <v>4852.1000000000004</v>
      </c>
      <c r="D75" s="65">
        <v>0</v>
      </c>
      <c r="E75" s="65">
        <v>5800.8</v>
      </c>
      <c r="F75" s="65">
        <v>1604.2</v>
      </c>
      <c r="G75" s="65">
        <v>4196.6000000000004</v>
      </c>
    </row>
    <row r="76" spans="1:7" x14ac:dyDescent="0.3">
      <c r="A76" s="68">
        <v>93</v>
      </c>
      <c r="B76" s="65">
        <v>3229.2</v>
      </c>
      <c r="C76" s="65">
        <v>3229.2</v>
      </c>
      <c r="D76" s="65">
        <v>0</v>
      </c>
      <c r="E76" s="65">
        <v>1075.7</v>
      </c>
      <c r="F76" s="65">
        <v>1067.7</v>
      </c>
      <c r="G76" s="65">
        <v>8.1</v>
      </c>
    </row>
    <row r="77" spans="1:7" x14ac:dyDescent="0.3">
      <c r="A77" s="68">
        <v>94</v>
      </c>
      <c r="B77" s="65">
        <v>5010.3</v>
      </c>
      <c r="C77" s="65">
        <v>5010.3</v>
      </c>
      <c r="D77" s="65">
        <v>0</v>
      </c>
      <c r="E77" s="65">
        <v>4587.1000000000004</v>
      </c>
      <c r="F77" s="65">
        <v>253.6</v>
      </c>
      <c r="G77" s="65">
        <v>4333.3999999999996</v>
      </c>
    </row>
    <row r="78" spans="1:7" x14ac:dyDescent="0.3">
      <c r="A78" s="68">
        <v>96</v>
      </c>
      <c r="B78" s="65">
        <v>3334.5</v>
      </c>
      <c r="C78" s="65">
        <v>3334.5</v>
      </c>
      <c r="D78" s="65">
        <v>0</v>
      </c>
      <c r="E78" s="65">
        <v>177.1</v>
      </c>
      <c r="F78" s="65">
        <v>168.8</v>
      </c>
      <c r="G78" s="65">
        <v>8.3000000000000007</v>
      </c>
    </row>
    <row r="79" spans="1:7" x14ac:dyDescent="0.3">
      <c r="A79" s="68">
        <v>100</v>
      </c>
      <c r="B79" s="65">
        <v>579.6</v>
      </c>
      <c r="C79" s="65">
        <v>579.6</v>
      </c>
      <c r="D79" s="65">
        <v>0</v>
      </c>
      <c r="E79" s="65">
        <v>191.6</v>
      </c>
      <c r="F79" s="65">
        <v>262.60000000000002</v>
      </c>
      <c r="G79" s="65">
        <v>71</v>
      </c>
    </row>
    <row r="80" spans="1:7" x14ac:dyDescent="0.3">
      <c r="A80" s="68">
        <v>101</v>
      </c>
      <c r="B80" s="65">
        <v>478.8</v>
      </c>
      <c r="C80" s="65">
        <v>478.8</v>
      </c>
      <c r="D80" s="65">
        <v>0</v>
      </c>
      <c r="E80" s="65">
        <v>24.2</v>
      </c>
      <c r="F80" s="65">
        <v>82.9</v>
      </c>
      <c r="G80" s="65">
        <v>58.7</v>
      </c>
    </row>
  </sheetData>
  <mergeCells count="1">
    <mergeCell ref="B3:C3"/>
  </mergeCells>
  <pageMargins left="0.7" right="0.7" top="0.78740157499999996" bottom="0.78740157499999996" header="0.3" footer="0.3"/>
  <pageSetup paperSize="9" scale="95" orientation="portrait" r:id="rId1"/>
  <headerFooter>
    <oddHeader>&amp;LMaster Thesis 2023/2024&amp;CSt. Lawrence Parish House,
Petrinja, Croatia&amp;R&amp;G</oddHeader>
    <oddFooter>&amp;L&amp;A&amp;CModel: Initial state&amp;R&amp;P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D29F-828D-41FA-85BB-62E25C5E4658}">
  <sheetPr>
    <tabColor theme="6"/>
  </sheetPr>
  <dimension ref="A1:Z37"/>
  <sheetViews>
    <sheetView view="pageLayout" zoomScale="55" zoomScaleNormal="85" zoomScalePageLayoutView="55" workbookViewId="0">
      <selection activeCell="W12" sqref="W12"/>
    </sheetView>
  </sheetViews>
  <sheetFormatPr baseColWidth="10" defaultColWidth="10.6640625" defaultRowHeight="14" x14ac:dyDescent="0.3"/>
  <cols>
    <col min="1" max="1" width="12.75" bestFit="1" customWidth="1"/>
    <col min="2" max="2" width="10.4140625" bestFit="1" customWidth="1"/>
    <col min="3" max="3" width="3.9140625" bestFit="1" customWidth="1"/>
    <col min="4" max="4" width="4" bestFit="1" customWidth="1"/>
    <col min="5" max="5" width="4.4140625" bestFit="1" customWidth="1"/>
    <col min="6" max="6" width="4.1640625" bestFit="1" customWidth="1"/>
    <col min="7" max="7" width="5.6640625" bestFit="1" customWidth="1"/>
    <col min="8" max="8" width="5.5" bestFit="1" customWidth="1"/>
    <col min="9" max="9" width="6.25" bestFit="1" customWidth="1"/>
    <col min="10" max="10" width="6" bestFit="1" customWidth="1"/>
    <col min="11" max="11" width="6.58203125" bestFit="1" customWidth="1"/>
    <col min="12" max="12" width="6.4140625" bestFit="1" customWidth="1"/>
    <col min="13" max="13" width="6.33203125" bestFit="1" customWidth="1"/>
    <col min="14" max="14" width="6.1640625" bestFit="1" customWidth="1"/>
    <col min="15" max="15" width="11.58203125" style="19" bestFit="1" customWidth="1"/>
    <col min="16" max="16" width="11.5" style="19" bestFit="1" customWidth="1"/>
    <col min="17" max="17" width="8.58203125" bestFit="1" customWidth="1"/>
    <col min="18" max="18" width="14.33203125" bestFit="1" customWidth="1"/>
    <col min="19" max="19" width="18.1640625" bestFit="1" customWidth="1"/>
  </cols>
  <sheetData>
    <row r="1" spans="1:26" s="105" customFormat="1" ht="17" thickBot="1" x14ac:dyDescent="0.4">
      <c r="A1" s="102" t="s">
        <v>409</v>
      </c>
      <c r="B1" s="103"/>
      <c r="C1" s="104"/>
      <c r="D1" s="104"/>
      <c r="E1" s="103"/>
      <c r="F1" s="103"/>
      <c r="G1" s="103"/>
      <c r="H1" s="107"/>
      <c r="I1" s="107"/>
      <c r="J1" s="107"/>
      <c r="K1" s="107"/>
      <c r="L1" s="107"/>
      <c r="M1" s="107"/>
      <c r="N1" s="107"/>
      <c r="O1" s="107"/>
      <c r="P1" s="107"/>
    </row>
    <row r="2" spans="1:26" x14ac:dyDescent="0.3">
      <c r="A2" s="61" t="s">
        <v>378</v>
      </c>
      <c r="B2" t="s">
        <v>379</v>
      </c>
      <c r="C2" s="25"/>
    </row>
    <row r="3" spans="1:26" x14ac:dyDescent="0.3">
      <c r="A3" s="61" t="s">
        <v>375</v>
      </c>
      <c r="B3" s="140">
        <f ca="1">TODAY()</f>
        <v>45304</v>
      </c>
      <c r="C3" s="140"/>
    </row>
    <row r="4" spans="1:26" x14ac:dyDescent="0.3">
      <c r="A4" s="61" t="s">
        <v>398</v>
      </c>
      <c r="B4" t="s">
        <v>417</v>
      </c>
      <c r="C4" s="25"/>
    </row>
    <row r="5" spans="1:26" x14ac:dyDescent="0.3">
      <c r="A5" s="61" t="s">
        <v>377</v>
      </c>
      <c r="B5" t="s">
        <v>410</v>
      </c>
      <c r="C5" s="25"/>
    </row>
    <row r="6" spans="1:26" s="6" customFormat="1" x14ac:dyDescent="0.3">
      <c r="O6" s="7"/>
      <c r="P6" s="7"/>
    </row>
    <row r="7" spans="1:26" ht="17" thickBot="1" x14ac:dyDescent="0.35">
      <c r="A7" s="106" t="s">
        <v>159</v>
      </c>
      <c r="B7" s="106" t="s">
        <v>160</v>
      </c>
      <c r="C7" s="106" t="s">
        <v>27</v>
      </c>
      <c r="D7" s="106" t="s">
        <v>28</v>
      </c>
      <c r="E7" s="106" t="s">
        <v>54</v>
      </c>
      <c r="F7" s="106" t="s">
        <v>55</v>
      </c>
      <c r="G7" s="106" t="s">
        <v>149</v>
      </c>
      <c r="H7" s="106" t="s">
        <v>150</v>
      </c>
      <c r="I7" s="106" t="s">
        <v>151</v>
      </c>
      <c r="J7" s="106" t="s">
        <v>153</v>
      </c>
      <c r="K7" s="106" t="s">
        <v>152</v>
      </c>
      <c r="L7" s="106" t="s">
        <v>154</v>
      </c>
      <c r="M7" s="106" t="s">
        <v>155</v>
      </c>
      <c r="N7" s="106" t="s">
        <v>156</v>
      </c>
      <c r="O7" s="106" t="s">
        <v>157</v>
      </c>
      <c r="P7" s="106" t="s">
        <v>158</v>
      </c>
      <c r="Q7" s="106" t="s">
        <v>163</v>
      </c>
      <c r="R7" s="106" t="s">
        <v>162</v>
      </c>
      <c r="S7" s="106" t="s">
        <v>164</v>
      </c>
    </row>
    <row r="8" spans="1:26" x14ac:dyDescent="0.3">
      <c r="A8" s="66">
        <v>1</v>
      </c>
      <c r="B8" s="66">
        <v>1</v>
      </c>
      <c r="C8" s="9">
        <f>TCL_Shells!D8</f>
        <v>89</v>
      </c>
      <c r="D8" s="9">
        <f>TCL_Shells!E8</f>
        <v>46</v>
      </c>
      <c r="E8" s="9">
        <f>TCL_Shells!F8</f>
        <v>34</v>
      </c>
      <c r="F8" s="9">
        <f>TCL_Shells!G8</f>
        <v>35</v>
      </c>
      <c r="G8" s="66">
        <f ca="1">_xlfn.XLOOKUP(C8,TCL_Nodes!B:B,TCL_Nodes!C:C)</f>
        <v>0</v>
      </c>
      <c r="H8" s="66">
        <f ca="1">_xlfn.XLOOKUP(C8,TCL_Nodes!B:B,TCL_Nodes!D:D)</f>
        <v>5.73</v>
      </c>
      <c r="I8" s="66">
        <f>_xlfn.XLOOKUP(D8,TCL_Nodes!B:B,TCL_Nodes!C:C)</f>
        <v>5.18</v>
      </c>
      <c r="J8" s="66">
        <f ca="1">_xlfn.XLOOKUP(D8,TCL_Nodes!B:B,TCL_Nodes!D:D)</f>
        <v>5.73</v>
      </c>
      <c r="K8" s="66">
        <f ca="1">_xlfn.XLOOKUP(E8,TCL_Nodes!B:B,TCL_Nodes!C:C)</f>
        <v>5.18</v>
      </c>
      <c r="L8" s="66">
        <f>_xlfn.XLOOKUP(E8,TCL_Nodes!B:B,TCL_Nodes!D:D)</f>
        <v>11.35</v>
      </c>
      <c r="M8" s="66">
        <f>_xlfn.XLOOKUP(F8,TCL_Nodes!B:B,TCL_Nodes!C:C)</f>
        <v>0</v>
      </c>
      <c r="N8" s="66">
        <f>_xlfn.XLOOKUP(F8,TCL_Nodes!B:B,TCL_Nodes!D:D)</f>
        <v>11.35</v>
      </c>
      <c r="O8" s="113">
        <f ca="1">AVERAGE(I8-G8,K8-M8)</f>
        <v>5.18</v>
      </c>
      <c r="P8" s="113">
        <f ca="1">AVERAGE(N8-H8,L8-J8)</f>
        <v>5.6199999999999992</v>
      </c>
      <c r="Q8" s="67">
        <f ca="1">O8*P8</f>
        <v>29.111599999999996</v>
      </c>
      <c r="R8" s="68">
        <f t="shared" ref="R8:R32" ca="1" si="0">_xlfn.XLOOKUP(B8,$B$36:$B$37,$C$36:$C$37)*Q8</f>
        <v>10869.510265137613</v>
      </c>
      <c r="S8" s="68">
        <f ca="1">R8/4</f>
        <v>2717.3775662844032</v>
      </c>
      <c r="Z8" s="29"/>
    </row>
    <row r="9" spans="1:26" x14ac:dyDescent="0.3">
      <c r="A9" s="66">
        <v>2</v>
      </c>
      <c r="B9" s="66">
        <v>1</v>
      </c>
      <c r="C9" s="9">
        <f>TCL_Shells!D9</f>
        <v>46</v>
      </c>
      <c r="D9" s="9">
        <f>TCL_Shells!E9</f>
        <v>47</v>
      </c>
      <c r="E9" s="9">
        <f>TCL_Shells!F9</f>
        <v>33</v>
      </c>
      <c r="F9" s="9">
        <f>TCL_Shells!G9</f>
        <v>34</v>
      </c>
      <c r="G9" s="66">
        <f ca="1">_xlfn.XLOOKUP(C9,TCL_Nodes!B:B,TCL_Nodes!C:C)</f>
        <v>5.18</v>
      </c>
      <c r="H9" s="66">
        <f ca="1">_xlfn.XLOOKUP(C9,TCL_Nodes!B:B,TCL_Nodes!D:D)</f>
        <v>5.73</v>
      </c>
      <c r="I9" s="66">
        <f ca="1">_xlfn.XLOOKUP(D9,TCL_Nodes!B:B,TCL_Nodes!C:C)</f>
        <v>9.48</v>
      </c>
      <c r="J9" s="66">
        <f ca="1">_xlfn.XLOOKUP(D9,TCL_Nodes!B:B,TCL_Nodes!D:D)</f>
        <v>5.73</v>
      </c>
      <c r="K9" s="66">
        <f ca="1">_xlfn.XLOOKUP(E9,TCL_Nodes!B:B,TCL_Nodes!C:C)</f>
        <v>9.48</v>
      </c>
      <c r="L9" s="66">
        <f ca="1">_xlfn.XLOOKUP(E9,TCL_Nodes!B:B,TCL_Nodes!D:D)</f>
        <v>11.35</v>
      </c>
      <c r="M9" s="66">
        <f ca="1">_xlfn.XLOOKUP(F9,TCL_Nodes!B:B,TCL_Nodes!C:C)</f>
        <v>5.18</v>
      </c>
      <c r="N9" s="66">
        <f ca="1">_xlfn.XLOOKUP(F9,TCL_Nodes!B:B,TCL_Nodes!D:D)</f>
        <v>11.35</v>
      </c>
      <c r="O9" s="113">
        <f t="shared" ref="O9:O32" ca="1" si="1">AVERAGE(I9-G9,K9-M9)</f>
        <v>4.3000000000000007</v>
      </c>
      <c r="P9" s="113">
        <f t="shared" ref="P9:P32" ca="1" si="2">AVERAGE(N9-H9,L9-J9)</f>
        <v>5.6199999999999992</v>
      </c>
      <c r="Q9" s="67">
        <f t="shared" ref="Q9:Q32" ca="1" si="3">O9*P9</f>
        <v>24.166</v>
      </c>
      <c r="R9" s="68">
        <f t="shared" ca="1" si="0"/>
        <v>9022.9525366972484</v>
      </c>
      <c r="S9" s="68">
        <f t="shared" ref="S9:S32" ca="1" si="4">R9/4</f>
        <v>2255.7381341743121</v>
      </c>
    </row>
    <row r="10" spans="1:26" x14ac:dyDescent="0.3">
      <c r="A10" s="66">
        <v>3</v>
      </c>
      <c r="B10" s="66">
        <v>1</v>
      </c>
      <c r="C10" s="9">
        <f>TCL_Shells!D10</f>
        <v>47</v>
      </c>
      <c r="D10" s="9">
        <f>TCL_Shells!E10</f>
        <v>48</v>
      </c>
      <c r="E10" s="9">
        <f>TCL_Shells!F10</f>
        <v>32</v>
      </c>
      <c r="F10" s="9">
        <f>TCL_Shells!G10</f>
        <v>33</v>
      </c>
      <c r="G10" s="66">
        <f ca="1">_xlfn.XLOOKUP(C10,TCL_Nodes!B:B,TCL_Nodes!C:C)</f>
        <v>9.48</v>
      </c>
      <c r="H10" s="66">
        <f ca="1">_xlfn.XLOOKUP(C10,TCL_Nodes!B:B,TCL_Nodes!D:D)</f>
        <v>5.73</v>
      </c>
      <c r="I10" s="66">
        <f>_xlfn.XLOOKUP(D10,TCL_Nodes!B:B,TCL_Nodes!C:C)</f>
        <v>11.98</v>
      </c>
      <c r="J10" s="66">
        <f ca="1">_xlfn.XLOOKUP(D10,TCL_Nodes!B:B,TCL_Nodes!D:D)</f>
        <v>5.73</v>
      </c>
      <c r="K10" s="66">
        <f ca="1">_xlfn.XLOOKUP(E10,TCL_Nodes!B:B,TCL_Nodes!C:C)</f>
        <v>11.98</v>
      </c>
      <c r="L10" s="66">
        <f ca="1">_xlfn.XLOOKUP(E10,TCL_Nodes!B:B,TCL_Nodes!D:D)</f>
        <v>11.35</v>
      </c>
      <c r="M10" s="66">
        <f ca="1">_xlfn.XLOOKUP(F10,TCL_Nodes!B:B,TCL_Nodes!C:C)</f>
        <v>9.48</v>
      </c>
      <c r="N10" s="66">
        <f>_xlfn.XLOOKUP(F10,TCL_Nodes!B:B,TCL_Nodes!D:D)</f>
        <v>11.35</v>
      </c>
      <c r="O10" s="113">
        <f t="shared" ca="1" si="1"/>
        <v>2.5</v>
      </c>
      <c r="P10" s="113">
        <f t="shared" ca="1" si="2"/>
        <v>5.6199999999999992</v>
      </c>
      <c r="Q10" s="67">
        <f t="shared" ca="1" si="3"/>
        <v>14.049999999999997</v>
      </c>
      <c r="R10" s="68">
        <f t="shared" ca="1" si="0"/>
        <v>5245.9026376146785</v>
      </c>
      <c r="S10" s="68">
        <f t="shared" ca="1" si="4"/>
        <v>1311.4756594036696</v>
      </c>
    </row>
    <row r="11" spans="1:26" x14ac:dyDescent="0.3">
      <c r="A11" s="66">
        <v>4</v>
      </c>
      <c r="B11" s="66">
        <v>1</v>
      </c>
      <c r="C11" s="9">
        <f>TCL_Shells!D11</f>
        <v>48</v>
      </c>
      <c r="D11" s="9">
        <f>TCL_Shells!E11</f>
        <v>74</v>
      </c>
      <c r="E11" s="9">
        <f>TCL_Shells!F11</f>
        <v>75</v>
      </c>
      <c r="F11" s="9">
        <f>TCL_Shells!G11</f>
        <v>32</v>
      </c>
      <c r="G11" s="66">
        <f>_xlfn.XLOOKUP(C11,TCL_Nodes!B:B,TCL_Nodes!C:C)</f>
        <v>11.98</v>
      </c>
      <c r="H11" s="66">
        <f ca="1">_xlfn.XLOOKUP(C11,TCL_Nodes!B:B,TCL_Nodes!D:D)</f>
        <v>5.73</v>
      </c>
      <c r="I11" s="66">
        <f ca="1">_xlfn.XLOOKUP(D11,TCL_Nodes!B:B,TCL_Nodes!C:C)</f>
        <v>17.149999999999999</v>
      </c>
      <c r="J11" s="66">
        <f>_xlfn.XLOOKUP(D11,TCL_Nodes!B:B,TCL_Nodes!D:D)</f>
        <v>5.73</v>
      </c>
      <c r="K11" s="66">
        <f ca="1">_xlfn.XLOOKUP(E11,TCL_Nodes!B:B,TCL_Nodes!C:C)</f>
        <v>17.149999999999999</v>
      </c>
      <c r="L11" s="66">
        <f ca="1">_xlfn.XLOOKUP(E11,TCL_Nodes!B:B,TCL_Nodes!D:D)</f>
        <v>11.35</v>
      </c>
      <c r="M11" s="66">
        <f>_xlfn.XLOOKUP(F11,TCL_Nodes!B:B,TCL_Nodes!C:C)</f>
        <v>11.98</v>
      </c>
      <c r="N11" s="66">
        <f ca="1">_xlfn.XLOOKUP(F11,TCL_Nodes!B:B,TCL_Nodes!D:D)</f>
        <v>11.35</v>
      </c>
      <c r="O11" s="113">
        <f t="shared" ca="1" si="1"/>
        <v>5.1699999999999982</v>
      </c>
      <c r="P11" s="113">
        <f t="shared" ca="1" si="2"/>
        <v>5.6199999999999992</v>
      </c>
      <c r="Q11" s="67">
        <f t="shared" ca="1" si="3"/>
        <v>29.055399999999985</v>
      </c>
      <c r="R11" s="68">
        <f t="shared" ca="1" si="0"/>
        <v>10848.526654587151</v>
      </c>
      <c r="S11" s="68">
        <f t="shared" ca="1" si="4"/>
        <v>2712.1316636467877</v>
      </c>
    </row>
    <row r="12" spans="1:26" x14ac:dyDescent="0.3">
      <c r="A12" s="66">
        <v>5</v>
      </c>
      <c r="B12" s="66">
        <v>1</v>
      </c>
      <c r="C12" s="9">
        <f>TCL_Shells!D12</f>
        <v>62</v>
      </c>
      <c r="D12" s="9">
        <f>TCL_Shells!E12</f>
        <v>63</v>
      </c>
      <c r="E12" s="9">
        <f>TCL_Shells!F12</f>
        <v>94</v>
      </c>
      <c r="F12" s="9">
        <f>TCL_Shells!G12</f>
        <v>41</v>
      </c>
      <c r="G12" s="66">
        <f ca="1">_xlfn.XLOOKUP(C12,TCL_Nodes!B:B,TCL_Nodes!C:C)</f>
        <v>0</v>
      </c>
      <c r="H12" s="66">
        <f ca="1">_xlfn.XLOOKUP(C12,TCL_Nodes!B:B,TCL_Nodes!D:D)</f>
        <v>0</v>
      </c>
      <c r="I12" s="66">
        <f>_xlfn.XLOOKUP(D12,TCL_Nodes!B:B,TCL_Nodes!C:C)</f>
        <v>5.18</v>
      </c>
      <c r="J12" s="66">
        <f ca="1">_xlfn.XLOOKUP(D12,TCL_Nodes!B:B,TCL_Nodes!D:D)</f>
        <v>0</v>
      </c>
      <c r="K12" s="66">
        <f>_xlfn.XLOOKUP(E12,TCL_Nodes!B:B,TCL_Nodes!C:C)</f>
        <v>5.18</v>
      </c>
      <c r="L12" s="66">
        <f ca="1">_xlfn.XLOOKUP(E12,TCL_Nodes!B:B,TCL_Nodes!D:D)</f>
        <v>5.73</v>
      </c>
      <c r="M12" s="66">
        <f ca="1">_xlfn.XLOOKUP(F12,TCL_Nodes!B:B,TCL_Nodes!C:C)</f>
        <v>0</v>
      </c>
      <c r="N12" s="66">
        <f>_xlfn.XLOOKUP(F12,TCL_Nodes!B:B,TCL_Nodes!D:D)</f>
        <v>5.73</v>
      </c>
      <c r="O12" s="113">
        <f t="shared" ca="1" si="1"/>
        <v>5.18</v>
      </c>
      <c r="P12" s="113">
        <f t="shared" ca="1" si="2"/>
        <v>5.73</v>
      </c>
      <c r="Q12" s="67">
        <f t="shared" ca="1" si="3"/>
        <v>29.6814</v>
      </c>
      <c r="R12" s="68">
        <f t="shared" ca="1" si="0"/>
        <v>11082.258686697249</v>
      </c>
      <c r="S12" s="68">
        <f t="shared" ca="1" si="4"/>
        <v>2770.5646716743122</v>
      </c>
    </row>
    <row r="13" spans="1:26" x14ac:dyDescent="0.3">
      <c r="A13" s="66">
        <v>6</v>
      </c>
      <c r="B13" s="66">
        <v>1</v>
      </c>
      <c r="C13" s="9">
        <f>TCL_Shells!D13</f>
        <v>302</v>
      </c>
      <c r="D13" s="9">
        <f>TCL_Shells!E13</f>
        <v>56</v>
      </c>
      <c r="E13" s="9">
        <f>TCL_Shells!F13</f>
        <v>301</v>
      </c>
      <c r="F13" s="9">
        <f>TCL_Shells!G13</f>
        <v>46</v>
      </c>
      <c r="G13" s="66">
        <f ca="1">_xlfn.XLOOKUP(C13,TCL_Nodes!B:B,TCL_Nodes!C:C)</f>
        <v>5.18</v>
      </c>
      <c r="H13" s="66">
        <f>_xlfn.XLOOKUP(C13,TCL_Nodes!B:B,TCL_Nodes!D:D)</f>
        <v>3.98</v>
      </c>
      <c r="I13" s="66">
        <f ca="1">_xlfn.XLOOKUP(D13,TCL_Nodes!B:B,TCL_Nodes!C:C)</f>
        <v>7.31</v>
      </c>
      <c r="J13" s="66">
        <f>_xlfn.XLOOKUP(D13,TCL_Nodes!B:B,TCL_Nodes!D:D)</f>
        <v>3.98</v>
      </c>
      <c r="K13" s="66">
        <f ca="1">_xlfn.XLOOKUP(E13,TCL_Nodes!B:B,TCL_Nodes!C:C)</f>
        <v>7.31</v>
      </c>
      <c r="L13" s="66">
        <f>_xlfn.XLOOKUP(E13,TCL_Nodes!B:B,TCL_Nodes!D:D)</f>
        <v>5.73</v>
      </c>
      <c r="M13" s="66">
        <f ca="1">_xlfn.XLOOKUP(F13,TCL_Nodes!B:B,TCL_Nodes!C:C)</f>
        <v>5.18</v>
      </c>
      <c r="N13" s="66">
        <f>_xlfn.XLOOKUP(F13,TCL_Nodes!B:B,TCL_Nodes!D:D)</f>
        <v>5.73</v>
      </c>
      <c r="O13" s="113">
        <f t="shared" ca="1" si="1"/>
        <v>2.13</v>
      </c>
      <c r="P13" s="113">
        <f t="shared" si="2"/>
        <v>1.7500000000000004</v>
      </c>
      <c r="Q13" s="67">
        <f t="shared" ca="1" si="3"/>
        <v>3.7275000000000009</v>
      </c>
      <c r="R13" s="68">
        <f t="shared" ca="1" si="0"/>
        <v>1391.751037844037</v>
      </c>
      <c r="S13" s="68">
        <f t="shared" ca="1" si="4"/>
        <v>347.93775946100925</v>
      </c>
    </row>
    <row r="14" spans="1:26" x14ac:dyDescent="0.3">
      <c r="A14" s="66">
        <v>7</v>
      </c>
      <c r="B14" s="66">
        <v>1</v>
      </c>
      <c r="C14" s="9">
        <f>TCL_Shells!D14</f>
        <v>303</v>
      </c>
      <c r="D14" s="9">
        <f>TCL_Shells!E14</f>
        <v>304</v>
      </c>
      <c r="E14" s="9">
        <f>TCL_Shells!F14</f>
        <v>96</v>
      </c>
      <c r="F14" s="9">
        <f>TCL_Shells!G14</f>
        <v>95</v>
      </c>
      <c r="G14" s="66">
        <f ca="1">_xlfn.XLOOKUP(C14,TCL_Nodes!B:B,TCL_Nodes!C:C)</f>
        <v>9.48</v>
      </c>
      <c r="H14" s="66">
        <f ca="1">_xlfn.XLOOKUP(C14,TCL_Nodes!B:B,TCL_Nodes!D:D)</f>
        <v>3.98</v>
      </c>
      <c r="I14" s="66">
        <f ca="1">_xlfn.XLOOKUP(D14,TCL_Nodes!B:B,TCL_Nodes!C:C)</f>
        <v>11.98</v>
      </c>
      <c r="J14" s="66">
        <f>_xlfn.XLOOKUP(D14,TCL_Nodes!B:B,TCL_Nodes!D:D)</f>
        <v>3.98</v>
      </c>
      <c r="K14" s="66">
        <f ca="1">_xlfn.XLOOKUP(E14,TCL_Nodes!B:B,TCL_Nodes!C:C)</f>
        <v>11.98</v>
      </c>
      <c r="L14" s="66">
        <f ca="1">_xlfn.XLOOKUP(E14,TCL_Nodes!B:B,TCL_Nodes!D:D)</f>
        <v>5.73</v>
      </c>
      <c r="M14" s="66">
        <f>_xlfn.XLOOKUP(F14,TCL_Nodes!B:B,TCL_Nodes!C:C)</f>
        <v>9.48</v>
      </c>
      <c r="N14" s="66">
        <f>_xlfn.XLOOKUP(F14,TCL_Nodes!B:B,TCL_Nodes!D:D)</f>
        <v>5.73</v>
      </c>
      <c r="O14" s="113">
        <f t="shared" ca="1" si="1"/>
        <v>2.5</v>
      </c>
      <c r="P14" s="113">
        <f t="shared" ca="1" si="2"/>
        <v>1.7500000000000004</v>
      </c>
      <c r="Q14" s="67">
        <f t="shared" ca="1" si="3"/>
        <v>4.3750000000000009</v>
      </c>
      <c r="R14" s="68">
        <f t="shared" ca="1" si="0"/>
        <v>1633.5106077981654</v>
      </c>
      <c r="S14" s="68">
        <f t="shared" ca="1" si="4"/>
        <v>408.37765194954136</v>
      </c>
    </row>
    <row r="15" spans="1:26" x14ac:dyDescent="0.3">
      <c r="A15" s="66">
        <v>8</v>
      </c>
      <c r="B15" s="66">
        <v>1</v>
      </c>
      <c r="C15" s="9">
        <f>TCL_Shells!D15</f>
        <v>53</v>
      </c>
      <c r="D15" s="9">
        <f>TCL_Shells!E15</f>
        <v>22</v>
      </c>
      <c r="E15" s="9">
        <f>TCL_Shells!F15</f>
        <v>23</v>
      </c>
      <c r="F15" s="9">
        <f>TCL_Shells!G15</f>
        <v>96</v>
      </c>
      <c r="G15" s="66">
        <f>_xlfn.XLOOKUP(C15,TCL_Nodes!B:B,TCL_Nodes!C:C)</f>
        <v>11.98</v>
      </c>
      <c r="H15" s="66">
        <f>_xlfn.XLOOKUP(C15,TCL_Nodes!B:B,TCL_Nodes!D:D)</f>
        <v>1.53</v>
      </c>
      <c r="I15" s="66">
        <f>_xlfn.XLOOKUP(D15,TCL_Nodes!B:B,TCL_Nodes!C:C)</f>
        <v>17.149999999999999</v>
      </c>
      <c r="J15" s="66">
        <f>_xlfn.XLOOKUP(D15,TCL_Nodes!B:B,TCL_Nodes!D:D)</f>
        <v>1.53</v>
      </c>
      <c r="K15" s="66">
        <f ca="1">_xlfn.XLOOKUP(E15,TCL_Nodes!B:B,TCL_Nodes!C:C)</f>
        <v>17.149999999999999</v>
      </c>
      <c r="L15" s="66">
        <f>_xlfn.XLOOKUP(E15,TCL_Nodes!B:B,TCL_Nodes!D:D)</f>
        <v>5.73</v>
      </c>
      <c r="M15" s="66">
        <f>_xlfn.XLOOKUP(F15,TCL_Nodes!B:B,TCL_Nodes!C:C)</f>
        <v>11.98</v>
      </c>
      <c r="N15" s="66">
        <f ca="1">_xlfn.XLOOKUP(F15,TCL_Nodes!B:B,TCL_Nodes!D:D)</f>
        <v>5.73</v>
      </c>
      <c r="O15" s="113">
        <f t="shared" ca="1" si="1"/>
        <v>5.1699999999999982</v>
      </c>
      <c r="P15" s="113">
        <f t="shared" ca="1" si="2"/>
        <v>4.2</v>
      </c>
      <c r="Q15" s="67">
        <f t="shared" ca="1" si="3"/>
        <v>21.713999999999992</v>
      </c>
      <c r="R15" s="68">
        <f t="shared" ca="1" si="0"/>
        <v>8107.4398486238506</v>
      </c>
      <c r="S15" s="68">
        <f t="shared" ca="1" si="4"/>
        <v>2026.8599621559626</v>
      </c>
    </row>
    <row r="16" spans="1:26" x14ac:dyDescent="0.3">
      <c r="A16" s="66">
        <v>9</v>
      </c>
      <c r="B16" s="66">
        <v>1</v>
      </c>
      <c r="C16" s="9">
        <f>TCL_Shells!D16</f>
        <v>305</v>
      </c>
      <c r="D16" s="9">
        <f>TCL_Shells!E16</f>
        <v>306</v>
      </c>
      <c r="E16" s="9">
        <f>TCL_Shells!F16</f>
        <v>56</v>
      </c>
      <c r="F16" s="9">
        <f>TCL_Shells!G16</f>
        <v>302</v>
      </c>
      <c r="G16" s="66">
        <f ca="1">_xlfn.XLOOKUP(C16,TCL_Nodes!B:B,TCL_Nodes!C:C)</f>
        <v>5.18</v>
      </c>
      <c r="H16" s="66">
        <f ca="1">_xlfn.XLOOKUP(C16,TCL_Nodes!B:B,TCL_Nodes!D:D)</f>
        <v>1.88</v>
      </c>
      <c r="I16" s="66">
        <f ca="1">_xlfn.XLOOKUP(D16,TCL_Nodes!B:B,TCL_Nodes!C:C)</f>
        <v>7.31</v>
      </c>
      <c r="J16" s="66">
        <f ca="1">_xlfn.XLOOKUP(D16,TCL_Nodes!B:B,TCL_Nodes!D:D)</f>
        <v>1.88</v>
      </c>
      <c r="K16" s="66">
        <f>_xlfn.XLOOKUP(E16,TCL_Nodes!B:B,TCL_Nodes!C:C)</f>
        <v>7.31</v>
      </c>
      <c r="L16" s="66">
        <f ca="1">_xlfn.XLOOKUP(E16,TCL_Nodes!B:B,TCL_Nodes!D:D)</f>
        <v>3.98</v>
      </c>
      <c r="M16" s="66">
        <f ca="1">_xlfn.XLOOKUP(F16,TCL_Nodes!B:B,TCL_Nodes!C:C)</f>
        <v>5.18</v>
      </c>
      <c r="N16" s="66">
        <f>_xlfn.XLOOKUP(F16,TCL_Nodes!B:B,TCL_Nodes!D:D)</f>
        <v>3.98</v>
      </c>
      <c r="O16" s="113">
        <f t="shared" ca="1" si="1"/>
        <v>2.13</v>
      </c>
      <c r="P16" s="113">
        <f t="shared" ca="1" si="2"/>
        <v>2.1</v>
      </c>
      <c r="Q16" s="67">
        <f t="shared" ca="1" si="3"/>
        <v>4.4729999999999999</v>
      </c>
      <c r="R16" s="68">
        <f t="shared" ca="1" si="0"/>
        <v>1670.101245412844</v>
      </c>
      <c r="S16" s="68">
        <f t="shared" ca="1" si="4"/>
        <v>417.52531135321101</v>
      </c>
      <c r="V16" s="1"/>
    </row>
    <row r="17" spans="1:26" x14ac:dyDescent="0.3">
      <c r="A17" s="66">
        <v>10</v>
      </c>
      <c r="B17" s="66">
        <v>1</v>
      </c>
      <c r="C17" s="9">
        <f>TCL_Shells!D17</f>
        <v>307</v>
      </c>
      <c r="D17" s="9">
        <f>TCL_Shells!E17</f>
        <v>53</v>
      </c>
      <c r="E17" s="9">
        <f>TCL_Shells!F17</f>
        <v>304</v>
      </c>
      <c r="F17" s="9">
        <f>TCL_Shells!G17</f>
        <v>303</v>
      </c>
      <c r="G17" s="66">
        <f>_xlfn.XLOOKUP(C17,TCL_Nodes!B:B,TCL_Nodes!C:C)</f>
        <v>9.48</v>
      </c>
      <c r="H17" s="66">
        <f>_xlfn.XLOOKUP(C17,TCL_Nodes!B:B,TCL_Nodes!D:D)</f>
        <v>1.88</v>
      </c>
      <c r="I17" s="66">
        <f ca="1">_xlfn.XLOOKUP(D17,TCL_Nodes!B:B,TCL_Nodes!C:C)</f>
        <v>11.98</v>
      </c>
      <c r="J17" s="66">
        <f ca="1">_xlfn.XLOOKUP(D17,TCL_Nodes!B:B,TCL_Nodes!D:D)</f>
        <v>1.53</v>
      </c>
      <c r="K17" s="66">
        <f>_xlfn.XLOOKUP(E17,TCL_Nodes!B:B,TCL_Nodes!C:C)</f>
        <v>11.98</v>
      </c>
      <c r="L17" s="66">
        <f>_xlfn.XLOOKUP(E17,TCL_Nodes!B:B,TCL_Nodes!D:D)</f>
        <v>3.98</v>
      </c>
      <c r="M17" s="66">
        <f ca="1">_xlfn.XLOOKUP(F17,TCL_Nodes!B:B,TCL_Nodes!C:C)</f>
        <v>9.48</v>
      </c>
      <c r="N17" s="66">
        <f ca="1">_xlfn.XLOOKUP(F17,TCL_Nodes!B:B,TCL_Nodes!D:D)</f>
        <v>3.98</v>
      </c>
      <c r="O17" s="113">
        <f t="shared" ca="1" si="1"/>
        <v>2.5</v>
      </c>
      <c r="P17" s="113">
        <f t="shared" ca="1" si="2"/>
        <v>2.2750000000000004</v>
      </c>
      <c r="Q17" s="67">
        <f t="shared" ca="1" si="3"/>
        <v>5.6875000000000009</v>
      </c>
      <c r="R17" s="68">
        <f t="shared" ca="1" si="0"/>
        <v>2123.5637901376149</v>
      </c>
      <c r="S17" s="68">
        <f t="shared" ca="1" si="4"/>
        <v>530.89094753440372</v>
      </c>
    </row>
    <row r="18" spans="1:26" x14ac:dyDescent="0.3">
      <c r="A18" s="66">
        <v>11</v>
      </c>
      <c r="B18" s="66">
        <v>1</v>
      </c>
      <c r="C18" s="9">
        <f>TCL_Shells!D18</f>
        <v>8</v>
      </c>
      <c r="D18" s="9">
        <f>TCL_Shells!E18</f>
        <v>308</v>
      </c>
      <c r="E18" s="9">
        <f>TCL_Shells!F18</f>
        <v>306</v>
      </c>
      <c r="F18" s="9">
        <f>TCL_Shells!G18</f>
        <v>305</v>
      </c>
      <c r="G18" s="66">
        <f ca="1">_xlfn.XLOOKUP(C18,TCL_Nodes!B:B,TCL_Nodes!C:C)</f>
        <v>5.18</v>
      </c>
      <c r="H18" s="66">
        <f ca="1">_xlfn.XLOOKUP(C18,TCL_Nodes!B:B,TCL_Nodes!D:D)</f>
        <v>0</v>
      </c>
      <c r="I18" s="66">
        <f ca="1">_xlfn.XLOOKUP(D18,TCL_Nodes!B:B,TCL_Nodes!C:C)</f>
        <v>7.31</v>
      </c>
      <c r="J18" s="66">
        <f ca="1">_xlfn.XLOOKUP(D18,TCL_Nodes!B:B,TCL_Nodes!D:D)</f>
        <v>0</v>
      </c>
      <c r="K18" s="66">
        <f ca="1">_xlfn.XLOOKUP(E18,TCL_Nodes!B:B,TCL_Nodes!C:C)</f>
        <v>7.31</v>
      </c>
      <c r="L18" s="66">
        <f ca="1">_xlfn.XLOOKUP(E18,TCL_Nodes!B:B,TCL_Nodes!D:D)</f>
        <v>1.88</v>
      </c>
      <c r="M18" s="66">
        <f>_xlfn.XLOOKUP(F18,TCL_Nodes!B:B,TCL_Nodes!C:C)</f>
        <v>5.18</v>
      </c>
      <c r="N18" s="66">
        <f>_xlfn.XLOOKUP(F18,TCL_Nodes!B:B,TCL_Nodes!D:D)</f>
        <v>1.88</v>
      </c>
      <c r="O18" s="113">
        <f t="shared" ca="1" si="1"/>
        <v>2.13</v>
      </c>
      <c r="P18" s="113">
        <f t="shared" ca="1" si="2"/>
        <v>1.88</v>
      </c>
      <c r="Q18" s="67">
        <f t="shared" ca="1" si="3"/>
        <v>4.0043999999999995</v>
      </c>
      <c r="R18" s="68">
        <f t="shared" ca="1" si="0"/>
        <v>1495.1382577981651</v>
      </c>
      <c r="S18" s="68">
        <f t="shared" ca="1" si="4"/>
        <v>373.78456444954128</v>
      </c>
    </row>
    <row r="19" spans="1:26" x14ac:dyDescent="0.3">
      <c r="A19" s="66">
        <v>12</v>
      </c>
      <c r="B19" s="66">
        <v>1</v>
      </c>
      <c r="C19" s="9">
        <f>TCL_Shells!D19</f>
        <v>308</v>
      </c>
      <c r="D19" s="9">
        <f>TCL_Shells!E19</f>
        <v>309</v>
      </c>
      <c r="E19" s="9">
        <f>TCL_Shells!F19</f>
        <v>307</v>
      </c>
      <c r="F19" s="9">
        <f>TCL_Shells!G19</f>
        <v>306</v>
      </c>
      <c r="G19" s="66">
        <f ca="1">_xlfn.XLOOKUP(C19,TCL_Nodes!B:B,TCL_Nodes!C:C)</f>
        <v>7.31</v>
      </c>
      <c r="H19" s="66">
        <f>_xlfn.XLOOKUP(C19,TCL_Nodes!B:B,TCL_Nodes!D:D)</f>
        <v>0</v>
      </c>
      <c r="I19" s="66">
        <f>_xlfn.XLOOKUP(D19,TCL_Nodes!B:B,TCL_Nodes!C:C)</f>
        <v>9.48</v>
      </c>
      <c r="J19" s="66">
        <f ca="1">_xlfn.XLOOKUP(D19,TCL_Nodes!B:B,TCL_Nodes!D:D)</f>
        <v>0</v>
      </c>
      <c r="K19" s="66">
        <f ca="1">_xlfn.XLOOKUP(E19,TCL_Nodes!B:B,TCL_Nodes!C:C)</f>
        <v>9.48</v>
      </c>
      <c r="L19" s="66">
        <f>_xlfn.XLOOKUP(E19,TCL_Nodes!B:B,TCL_Nodes!D:D)</f>
        <v>1.88</v>
      </c>
      <c r="M19" s="66">
        <f ca="1">_xlfn.XLOOKUP(F19,TCL_Nodes!B:B,TCL_Nodes!C:C)</f>
        <v>7.31</v>
      </c>
      <c r="N19" s="66">
        <f ca="1">_xlfn.XLOOKUP(F19,TCL_Nodes!B:B,TCL_Nodes!D:D)</f>
        <v>1.88</v>
      </c>
      <c r="O19" s="113">
        <f t="shared" ca="1" si="1"/>
        <v>2.1700000000000008</v>
      </c>
      <c r="P19" s="113">
        <f t="shared" ca="1" si="2"/>
        <v>1.88</v>
      </c>
      <c r="Q19" s="67">
        <f t="shared" ca="1" si="3"/>
        <v>4.079600000000001</v>
      </c>
      <c r="R19" s="68">
        <f t="shared" ca="1" si="0"/>
        <v>1523.2159715596335</v>
      </c>
      <c r="S19" s="68">
        <f t="shared" ca="1" si="4"/>
        <v>380.80399288990839</v>
      </c>
    </row>
    <row r="20" spans="1:26" x14ac:dyDescent="0.3">
      <c r="A20" s="66">
        <v>13</v>
      </c>
      <c r="B20" s="66">
        <v>1</v>
      </c>
      <c r="C20" s="9">
        <f>TCL_Shells!D20</f>
        <v>309</v>
      </c>
      <c r="D20" s="9">
        <f>TCL_Shells!E20</f>
        <v>11</v>
      </c>
      <c r="E20" s="9">
        <f>TCL_Shells!F20</f>
        <v>101</v>
      </c>
      <c r="F20" s="9">
        <f>TCL_Shells!G20</f>
        <v>307</v>
      </c>
      <c r="G20" s="66">
        <f ca="1">_xlfn.XLOOKUP(C20,TCL_Nodes!B:B,TCL_Nodes!C:C)</f>
        <v>9.48</v>
      </c>
      <c r="H20" s="66">
        <f ca="1">_xlfn.XLOOKUP(C20,TCL_Nodes!B:B,TCL_Nodes!D:D)</f>
        <v>0</v>
      </c>
      <c r="I20" s="66">
        <f ca="1">_xlfn.XLOOKUP(D20,TCL_Nodes!B:B,TCL_Nodes!C:C)</f>
        <v>11.98</v>
      </c>
      <c r="J20" s="66">
        <f>_xlfn.XLOOKUP(D20,TCL_Nodes!B:B,TCL_Nodes!D:D)</f>
        <v>0</v>
      </c>
      <c r="K20" s="66">
        <f>_xlfn.XLOOKUP(E20,TCL_Nodes!B:B,TCL_Nodes!C:C)</f>
        <v>11.98</v>
      </c>
      <c r="L20" s="66">
        <f ca="1">_xlfn.XLOOKUP(E20,TCL_Nodes!B:B,TCL_Nodes!D:D)</f>
        <v>1.53</v>
      </c>
      <c r="M20" s="66">
        <f ca="1">_xlfn.XLOOKUP(F20,TCL_Nodes!B:B,TCL_Nodes!C:C)</f>
        <v>9.48</v>
      </c>
      <c r="N20" s="66">
        <f ca="1">_xlfn.XLOOKUP(F20,TCL_Nodes!B:B,TCL_Nodes!D:D)</f>
        <v>1.88</v>
      </c>
      <c r="O20" s="113">
        <f t="shared" ca="1" si="1"/>
        <v>2.5</v>
      </c>
      <c r="P20" s="113">
        <f t="shared" ca="1" si="2"/>
        <v>1.7050000000000001</v>
      </c>
      <c r="Q20" s="67">
        <f t="shared" ca="1" si="3"/>
        <v>4.2625000000000002</v>
      </c>
      <c r="R20" s="68">
        <f t="shared" ca="1" si="0"/>
        <v>1591.5060493119267</v>
      </c>
      <c r="S20" s="68">
        <f t="shared" ca="1" si="4"/>
        <v>397.87651232798169</v>
      </c>
      <c r="Z20" s="29"/>
    </row>
    <row r="21" spans="1:26" x14ac:dyDescent="0.3">
      <c r="A21" s="66">
        <v>14</v>
      </c>
      <c r="B21" s="66">
        <v>1</v>
      </c>
      <c r="C21" s="9">
        <f>TCL_Shells!D21</f>
        <v>11</v>
      </c>
      <c r="D21" s="9">
        <f>TCL_Shells!E21</f>
        <v>12</v>
      </c>
      <c r="E21" s="9">
        <f>TCL_Shells!F21</f>
        <v>73</v>
      </c>
      <c r="F21" s="9">
        <f>TCL_Shells!G21</f>
        <v>101</v>
      </c>
      <c r="G21" s="66">
        <f>_xlfn.XLOOKUP(C21,TCL_Nodes!B:B,TCL_Nodes!C:C)</f>
        <v>11.98</v>
      </c>
      <c r="H21" s="66">
        <f>_xlfn.XLOOKUP(C21,TCL_Nodes!B:B,TCL_Nodes!D:D)</f>
        <v>0</v>
      </c>
      <c r="I21" s="66">
        <f>_xlfn.XLOOKUP(D21,TCL_Nodes!B:B,TCL_Nodes!C:C)</f>
        <v>17.149999999999999</v>
      </c>
      <c r="J21" s="66">
        <f>_xlfn.XLOOKUP(D21,TCL_Nodes!B:B,TCL_Nodes!D:D)</f>
        <v>0</v>
      </c>
      <c r="K21" s="66">
        <f>_xlfn.XLOOKUP(E21,TCL_Nodes!B:B,TCL_Nodes!C:C)</f>
        <v>17.149999999999999</v>
      </c>
      <c r="L21" s="66">
        <f>_xlfn.XLOOKUP(E21,TCL_Nodes!B:B,TCL_Nodes!D:D)</f>
        <v>1.53</v>
      </c>
      <c r="M21" s="66">
        <f ca="1">_xlfn.XLOOKUP(F21,TCL_Nodes!B:B,TCL_Nodes!C:C)</f>
        <v>11.98</v>
      </c>
      <c r="N21" s="66">
        <f>_xlfn.XLOOKUP(F21,TCL_Nodes!B:B,TCL_Nodes!D:D)</f>
        <v>1.53</v>
      </c>
      <c r="O21" s="113">
        <f t="shared" ca="1" si="1"/>
        <v>5.1699999999999982</v>
      </c>
      <c r="P21" s="113">
        <f t="shared" si="2"/>
        <v>1.53</v>
      </c>
      <c r="Q21" s="67">
        <f t="shared" ca="1" si="3"/>
        <v>7.9100999999999972</v>
      </c>
      <c r="R21" s="68">
        <f t="shared" ca="1" si="0"/>
        <v>2953.4245162844027</v>
      </c>
      <c r="S21" s="68">
        <f t="shared" ca="1" si="4"/>
        <v>738.35612907110067</v>
      </c>
    </row>
    <row r="22" spans="1:26" x14ac:dyDescent="0.3">
      <c r="A22" s="66">
        <v>15</v>
      </c>
      <c r="B22" s="66">
        <v>2</v>
      </c>
      <c r="C22" s="9">
        <f>TCL_Shells!D22</f>
        <v>88</v>
      </c>
      <c r="D22" s="9">
        <f>TCL_Shells!E22</f>
        <v>43</v>
      </c>
      <c r="E22" s="9">
        <f>TCL_Shells!F22</f>
        <v>30</v>
      </c>
      <c r="F22" s="9">
        <f>TCL_Shells!G22</f>
        <v>31</v>
      </c>
      <c r="G22" s="66">
        <f ca="1">_xlfn.XLOOKUP(C22,TCL_Nodes!B:B,TCL_Nodes!C:C)</f>
        <v>0</v>
      </c>
      <c r="H22" s="66">
        <f ca="1">_xlfn.XLOOKUP(C22,TCL_Nodes!B:B,TCL_Nodes!D:D)</f>
        <v>5.73</v>
      </c>
      <c r="I22" s="66">
        <f>_xlfn.XLOOKUP(D22,TCL_Nodes!B:B,TCL_Nodes!C:C)</f>
        <v>5.18</v>
      </c>
      <c r="J22" s="66">
        <f>_xlfn.XLOOKUP(D22,TCL_Nodes!B:B,TCL_Nodes!D:D)</f>
        <v>5.73</v>
      </c>
      <c r="K22" s="66">
        <f ca="1">_xlfn.XLOOKUP(E22,TCL_Nodes!B:B,TCL_Nodes!C:C)</f>
        <v>5.18</v>
      </c>
      <c r="L22" s="66">
        <f ca="1">_xlfn.XLOOKUP(E22,TCL_Nodes!B:B,TCL_Nodes!D:D)</f>
        <v>11.35</v>
      </c>
      <c r="M22" s="66">
        <f>_xlfn.XLOOKUP(F22,TCL_Nodes!B:B,TCL_Nodes!C:C)</f>
        <v>0</v>
      </c>
      <c r="N22" s="66">
        <f ca="1">_xlfn.XLOOKUP(F22,TCL_Nodes!B:B,TCL_Nodes!D:D)</f>
        <v>11.35</v>
      </c>
      <c r="O22" s="113">
        <f t="shared" ca="1" si="1"/>
        <v>5.18</v>
      </c>
      <c r="P22" s="113">
        <f t="shared" ca="1" si="2"/>
        <v>5.6199999999999992</v>
      </c>
      <c r="Q22" s="67">
        <f t="shared" ca="1" si="3"/>
        <v>29.111599999999996</v>
      </c>
      <c r="R22" s="68">
        <f t="shared" ca="1" si="0"/>
        <v>9555.4895005096823</v>
      </c>
      <c r="S22" s="68">
        <f t="shared" ca="1" si="4"/>
        <v>2388.8723751274206</v>
      </c>
    </row>
    <row r="23" spans="1:26" x14ac:dyDescent="0.3">
      <c r="A23" s="66">
        <v>16</v>
      </c>
      <c r="B23" s="66">
        <v>2</v>
      </c>
      <c r="C23" s="9">
        <f>TCL_Shells!D23</f>
        <v>43</v>
      </c>
      <c r="D23" s="9">
        <f>TCL_Shells!E23</f>
        <v>44</v>
      </c>
      <c r="E23" s="9">
        <f>TCL_Shells!F23</f>
        <v>29</v>
      </c>
      <c r="F23" s="9">
        <f>TCL_Shells!G23</f>
        <v>30</v>
      </c>
      <c r="G23" s="66">
        <f ca="1">_xlfn.XLOOKUP(C23,TCL_Nodes!B:B,TCL_Nodes!C:C)</f>
        <v>5.18</v>
      </c>
      <c r="H23" s="66">
        <f>_xlfn.XLOOKUP(C23,TCL_Nodes!B:B,TCL_Nodes!D:D)</f>
        <v>5.73</v>
      </c>
      <c r="I23" s="66">
        <f ca="1">_xlfn.XLOOKUP(D23,TCL_Nodes!B:B,TCL_Nodes!C:C)</f>
        <v>9.48</v>
      </c>
      <c r="J23" s="66">
        <f>_xlfn.XLOOKUP(D23,TCL_Nodes!B:B,TCL_Nodes!D:D)</f>
        <v>5.73</v>
      </c>
      <c r="K23" s="66">
        <f ca="1">_xlfn.XLOOKUP(E23,TCL_Nodes!B:B,TCL_Nodes!C:C)</f>
        <v>9.48</v>
      </c>
      <c r="L23" s="66">
        <f ca="1">_xlfn.XLOOKUP(E23,TCL_Nodes!B:B,TCL_Nodes!D:D)</f>
        <v>11.35</v>
      </c>
      <c r="M23" s="66">
        <f ca="1">_xlfn.XLOOKUP(F23,TCL_Nodes!B:B,TCL_Nodes!C:C)</f>
        <v>5.18</v>
      </c>
      <c r="N23" s="66">
        <f>_xlfn.XLOOKUP(F23,TCL_Nodes!B:B,TCL_Nodes!D:D)</f>
        <v>11.35</v>
      </c>
      <c r="O23" s="113">
        <f t="shared" ca="1" si="1"/>
        <v>4.3000000000000007</v>
      </c>
      <c r="P23" s="113">
        <f t="shared" ca="1" si="2"/>
        <v>5.6199999999999992</v>
      </c>
      <c r="Q23" s="67">
        <f t="shared" ca="1" si="3"/>
        <v>24.166</v>
      </c>
      <c r="R23" s="68">
        <f t="shared" ca="1" si="0"/>
        <v>7932.1630988786947</v>
      </c>
      <c r="S23" s="68">
        <f t="shared" ca="1" si="4"/>
        <v>1983.0407747196737</v>
      </c>
    </row>
    <row r="24" spans="1:26" x14ac:dyDescent="0.3">
      <c r="A24" s="66">
        <v>17</v>
      </c>
      <c r="B24" s="66">
        <v>2</v>
      </c>
      <c r="C24" s="9">
        <f>TCL_Shells!D24</f>
        <v>44</v>
      </c>
      <c r="D24" s="9">
        <f>TCL_Shells!E24</f>
        <v>45</v>
      </c>
      <c r="E24" s="9">
        <f>TCL_Shells!F24</f>
        <v>28</v>
      </c>
      <c r="F24" s="9">
        <f>TCL_Shells!G24</f>
        <v>29</v>
      </c>
      <c r="G24" s="66">
        <f>_xlfn.XLOOKUP(C24,TCL_Nodes!B:B,TCL_Nodes!C:C)</f>
        <v>9.48</v>
      </c>
      <c r="H24" s="66">
        <f>_xlfn.XLOOKUP(C24,TCL_Nodes!B:B,TCL_Nodes!D:D)</f>
        <v>5.73</v>
      </c>
      <c r="I24" s="66">
        <f>_xlfn.XLOOKUP(D24,TCL_Nodes!B:B,TCL_Nodes!C:C)</f>
        <v>11.98</v>
      </c>
      <c r="J24" s="66">
        <f>_xlfn.XLOOKUP(D24,TCL_Nodes!B:B,TCL_Nodes!D:D)</f>
        <v>5.73</v>
      </c>
      <c r="K24" s="66">
        <f>_xlfn.XLOOKUP(E24,TCL_Nodes!B:B,TCL_Nodes!C:C)</f>
        <v>11.98</v>
      </c>
      <c r="L24" s="66">
        <f ca="1">_xlfn.XLOOKUP(E24,TCL_Nodes!B:B,TCL_Nodes!D:D)</f>
        <v>11.35</v>
      </c>
      <c r="M24" s="66">
        <f>_xlfn.XLOOKUP(F24,TCL_Nodes!B:B,TCL_Nodes!C:C)</f>
        <v>9.48</v>
      </c>
      <c r="N24" s="66">
        <f ca="1">_xlfn.XLOOKUP(F24,TCL_Nodes!B:B,TCL_Nodes!D:D)</f>
        <v>11.35</v>
      </c>
      <c r="O24" s="113">
        <f t="shared" si="1"/>
        <v>2.5</v>
      </c>
      <c r="P24" s="113">
        <f t="shared" ca="1" si="2"/>
        <v>5.6199999999999992</v>
      </c>
      <c r="Q24" s="67">
        <f t="shared" ca="1" si="3"/>
        <v>14.049999999999997</v>
      </c>
      <c r="R24" s="68">
        <f t="shared" ca="1" si="0"/>
        <v>4611.7227319062167</v>
      </c>
      <c r="S24" s="68">
        <f t="shared" ca="1" si="4"/>
        <v>1152.9306829765542</v>
      </c>
    </row>
    <row r="25" spans="1:26" x14ac:dyDescent="0.3">
      <c r="A25" s="66">
        <v>18</v>
      </c>
      <c r="B25" s="66">
        <v>2</v>
      </c>
      <c r="C25" s="9">
        <f>TCL_Shells!D25</f>
        <v>45</v>
      </c>
      <c r="D25" s="9">
        <f>TCL_Shells!E25</f>
        <v>71</v>
      </c>
      <c r="E25" s="9">
        <f>TCL_Shells!F25</f>
        <v>72</v>
      </c>
      <c r="F25" s="9">
        <f>TCL_Shells!G25</f>
        <v>28</v>
      </c>
      <c r="G25" s="66">
        <f>_xlfn.XLOOKUP(C25,TCL_Nodes!B:B,TCL_Nodes!C:C)</f>
        <v>11.98</v>
      </c>
      <c r="H25" s="66">
        <f ca="1">_xlfn.XLOOKUP(C25,TCL_Nodes!B:B,TCL_Nodes!D:D)</f>
        <v>5.73</v>
      </c>
      <c r="I25" s="66">
        <f ca="1">_xlfn.XLOOKUP(D25,TCL_Nodes!B:B,TCL_Nodes!C:C)</f>
        <v>17.149999999999999</v>
      </c>
      <c r="J25" s="66">
        <f ca="1">_xlfn.XLOOKUP(D25,TCL_Nodes!B:B,TCL_Nodes!D:D)</f>
        <v>5.73</v>
      </c>
      <c r="K25" s="66">
        <f ca="1">_xlfn.XLOOKUP(E25,TCL_Nodes!B:B,TCL_Nodes!C:C)</f>
        <v>17.149999999999999</v>
      </c>
      <c r="L25" s="66">
        <f>_xlfn.XLOOKUP(E25,TCL_Nodes!B:B,TCL_Nodes!D:D)</f>
        <v>11.35</v>
      </c>
      <c r="M25" s="66">
        <f ca="1">_xlfn.XLOOKUP(F25,TCL_Nodes!B:B,TCL_Nodes!C:C)</f>
        <v>11.98</v>
      </c>
      <c r="N25" s="66">
        <f>_xlfn.XLOOKUP(F25,TCL_Nodes!B:B,TCL_Nodes!D:D)</f>
        <v>11.35</v>
      </c>
      <c r="O25" s="113">
        <f t="shared" ca="1" si="1"/>
        <v>5.1699999999999982</v>
      </c>
      <c r="P25" s="113">
        <f t="shared" ca="1" si="2"/>
        <v>5.6199999999999992</v>
      </c>
      <c r="Q25" s="67">
        <f t="shared" ca="1" si="3"/>
        <v>29.055399999999985</v>
      </c>
      <c r="R25" s="68">
        <f t="shared" ca="1" si="0"/>
        <v>9537.042609582053</v>
      </c>
      <c r="S25" s="68">
        <f t="shared" ca="1" si="4"/>
        <v>2384.2606523955133</v>
      </c>
    </row>
    <row r="26" spans="1:26" x14ac:dyDescent="0.3">
      <c r="A26" s="66">
        <v>19</v>
      </c>
      <c r="B26" s="66">
        <v>2</v>
      </c>
      <c r="C26" s="9">
        <f>TCL_Shells!D26</f>
        <v>1</v>
      </c>
      <c r="D26" s="9">
        <f>TCL_Shells!E26</f>
        <v>2</v>
      </c>
      <c r="E26" s="9">
        <f>TCL_Shells!F26</f>
        <v>43</v>
      </c>
      <c r="F26" s="9">
        <f>TCL_Shells!G26</f>
        <v>88</v>
      </c>
      <c r="G26" s="66">
        <f ca="1">_xlfn.XLOOKUP(C26,TCL_Nodes!B:B,TCL_Nodes!C:C)</f>
        <v>0</v>
      </c>
      <c r="H26" s="66">
        <f>_xlfn.XLOOKUP(C26,TCL_Nodes!B:B,TCL_Nodes!D:D)</f>
        <v>0</v>
      </c>
      <c r="I26" s="66">
        <f>_xlfn.XLOOKUP(D26,TCL_Nodes!B:B,TCL_Nodes!C:C)</f>
        <v>5.18</v>
      </c>
      <c r="J26" s="66">
        <f ca="1">_xlfn.XLOOKUP(D26,TCL_Nodes!B:B,TCL_Nodes!D:D)</f>
        <v>0</v>
      </c>
      <c r="K26" s="66">
        <f>_xlfn.XLOOKUP(E26,TCL_Nodes!B:B,TCL_Nodes!C:C)</f>
        <v>5.18</v>
      </c>
      <c r="L26" s="66">
        <f ca="1">_xlfn.XLOOKUP(E26,TCL_Nodes!B:B,TCL_Nodes!D:D)</f>
        <v>5.73</v>
      </c>
      <c r="M26" s="66">
        <f ca="1">_xlfn.XLOOKUP(F26,TCL_Nodes!B:B,TCL_Nodes!C:C)</f>
        <v>0</v>
      </c>
      <c r="N26" s="66">
        <f>_xlfn.XLOOKUP(F26,TCL_Nodes!B:B,TCL_Nodes!D:D)</f>
        <v>5.73</v>
      </c>
      <c r="O26" s="113">
        <f t="shared" ca="1" si="1"/>
        <v>5.18</v>
      </c>
      <c r="P26" s="113">
        <f t="shared" ca="1" si="2"/>
        <v>5.73</v>
      </c>
      <c r="Q26" s="67">
        <f t="shared" ca="1" si="3"/>
        <v>29.6814</v>
      </c>
      <c r="R26" s="68">
        <f t="shared" ca="1" si="0"/>
        <v>9742.5186544342505</v>
      </c>
      <c r="S26" s="68">
        <f t="shared" ca="1" si="4"/>
        <v>2435.6296636085626</v>
      </c>
    </row>
    <row r="27" spans="1:26" x14ac:dyDescent="0.3">
      <c r="A27" s="66">
        <v>20</v>
      </c>
      <c r="B27" s="66">
        <v>1</v>
      </c>
      <c r="C27" s="9">
        <f>TCL_Shells!D27</f>
        <v>55</v>
      </c>
      <c r="D27" s="9">
        <f>TCL_Shells!E27</f>
        <v>311</v>
      </c>
      <c r="E27" s="9">
        <f>TCL_Shells!F27</f>
        <v>44</v>
      </c>
      <c r="F27" s="9">
        <f>TCL_Shells!G27</f>
        <v>310</v>
      </c>
      <c r="G27" s="66">
        <f>_xlfn.XLOOKUP(C27,TCL_Nodes!B:B,TCL_Nodes!C:C)</f>
        <v>7.31</v>
      </c>
      <c r="H27" s="66">
        <f ca="1">_xlfn.XLOOKUP(C27,TCL_Nodes!B:B,TCL_Nodes!D:D)</f>
        <v>3.98</v>
      </c>
      <c r="I27" s="66">
        <f>_xlfn.XLOOKUP(D27,TCL_Nodes!B:B,TCL_Nodes!C:C)</f>
        <v>9.48</v>
      </c>
      <c r="J27" s="66">
        <f ca="1">_xlfn.XLOOKUP(D27,TCL_Nodes!B:B,TCL_Nodes!D:D)</f>
        <v>3.98</v>
      </c>
      <c r="K27" s="66">
        <f>_xlfn.XLOOKUP(E27,TCL_Nodes!B:B,TCL_Nodes!C:C)</f>
        <v>9.48</v>
      </c>
      <c r="L27" s="66">
        <f>_xlfn.XLOOKUP(E27,TCL_Nodes!B:B,TCL_Nodes!D:D)</f>
        <v>5.73</v>
      </c>
      <c r="M27" s="66">
        <f ca="1">_xlfn.XLOOKUP(F27,TCL_Nodes!B:B,TCL_Nodes!C:C)</f>
        <v>7.31</v>
      </c>
      <c r="N27" s="66">
        <f>_xlfn.XLOOKUP(F27,TCL_Nodes!B:B,TCL_Nodes!D:D)</f>
        <v>5.73</v>
      </c>
      <c r="O27" s="113">
        <f t="shared" ca="1" si="1"/>
        <v>2.1700000000000008</v>
      </c>
      <c r="P27" s="113">
        <f t="shared" ca="1" si="2"/>
        <v>1.7500000000000004</v>
      </c>
      <c r="Q27" s="67">
        <f t="shared" ca="1" si="3"/>
        <v>3.7975000000000025</v>
      </c>
      <c r="R27" s="68">
        <f t="shared" ca="1" si="0"/>
        <v>1417.8872075688084</v>
      </c>
      <c r="S27" s="68">
        <f t="shared" ca="1" si="4"/>
        <v>354.47180189220211</v>
      </c>
    </row>
    <row r="28" spans="1:26" x14ac:dyDescent="0.3">
      <c r="A28" s="66">
        <v>21</v>
      </c>
      <c r="B28" s="66">
        <v>2</v>
      </c>
      <c r="C28" s="9">
        <f>TCL_Shells!D28</f>
        <v>315</v>
      </c>
      <c r="D28" s="9">
        <f>TCL_Shells!E28</f>
        <v>5</v>
      </c>
      <c r="E28" s="9">
        <f>TCL_Shells!F28</f>
        <v>45</v>
      </c>
      <c r="F28" s="9">
        <f>TCL_Shells!G28</f>
        <v>44</v>
      </c>
      <c r="G28" s="66">
        <f ca="1">_xlfn.XLOOKUP(C28,TCL_Nodes!B:B,TCL_Nodes!C:C)</f>
        <v>9.48</v>
      </c>
      <c r="H28" s="66">
        <f ca="1">_xlfn.XLOOKUP(C28,TCL_Nodes!B:B,TCL_Nodes!D:D)</f>
        <v>0</v>
      </c>
      <c r="I28" s="66">
        <f ca="1">_xlfn.XLOOKUP(D28,TCL_Nodes!B:B,TCL_Nodes!C:C)</f>
        <v>11.98</v>
      </c>
      <c r="J28" s="66">
        <f>_xlfn.XLOOKUP(D28,TCL_Nodes!B:B,TCL_Nodes!D:D)</f>
        <v>0</v>
      </c>
      <c r="K28" s="66">
        <f ca="1">_xlfn.XLOOKUP(E28,TCL_Nodes!B:B,TCL_Nodes!C:C)</f>
        <v>11.98</v>
      </c>
      <c r="L28" s="66">
        <f>_xlfn.XLOOKUP(E28,TCL_Nodes!B:B,TCL_Nodes!D:D)</f>
        <v>5.73</v>
      </c>
      <c r="M28" s="66">
        <f ca="1">_xlfn.XLOOKUP(F28,TCL_Nodes!B:B,TCL_Nodes!C:C)</f>
        <v>9.48</v>
      </c>
      <c r="N28" s="66">
        <f ca="1">_xlfn.XLOOKUP(F28,TCL_Nodes!B:B,TCL_Nodes!D:D)</f>
        <v>5.73</v>
      </c>
      <c r="O28" s="113">
        <f t="shared" ca="1" si="1"/>
        <v>2.5</v>
      </c>
      <c r="P28" s="113">
        <f t="shared" ca="1" si="2"/>
        <v>5.73</v>
      </c>
      <c r="Q28" s="67">
        <f t="shared" ca="1" si="3"/>
        <v>14.325000000000001</v>
      </c>
      <c r="R28" s="68">
        <f t="shared" ca="1" si="0"/>
        <v>4701.987767584098</v>
      </c>
      <c r="S28" s="68">
        <f t="shared" ca="1" si="4"/>
        <v>1175.4969418960245</v>
      </c>
    </row>
    <row r="29" spans="1:26" x14ac:dyDescent="0.3">
      <c r="A29" s="66">
        <v>22</v>
      </c>
      <c r="B29" s="66">
        <v>2</v>
      </c>
      <c r="C29" s="9">
        <f>TCL_Shells!D29</f>
        <v>100</v>
      </c>
      <c r="D29" s="9">
        <f>TCL_Shells!E29</f>
        <v>70</v>
      </c>
      <c r="E29" s="9">
        <f>TCL_Shells!F29</f>
        <v>71</v>
      </c>
      <c r="F29" s="9">
        <f>TCL_Shells!G29</f>
        <v>45</v>
      </c>
      <c r="G29" s="66">
        <f ca="1">_xlfn.XLOOKUP(C29,TCL_Nodes!B:B,TCL_Nodes!C:C)</f>
        <v>11.98</v>
      </c>
      <c r="H29" s="66">
        <f>_xlfn.XLOOKUP(C29,TCL_Nodes!B:B,TCL_Nodes!D:D)</f>
        <v>1.53</v>
      </c>
      <c r="I29" s="66">
        <f>_xlfn.XLOOKUP(D29,TCL_Nodes!B:B,TCL_Nodes!C:C)</f>
        <v>17.149999999999999</v>
      </c>
      <c r="J29" s="66">
        <f ca="1">_xlfn.XLOOKUP(D29,TCL_Nodes!B:B,TCL_Nodes!D:D)</f>
        <v>1.53</v>
      </c>
      <c r="K29" s="66">
        <f ca="1">_xlfn.XLOOKUP(E29,TCL_Nodes!B:B,TCL_Nodes!C:C)</f>
        <v>17.149999999999999</v>
      </c>
      <c r="L29" s="66">
        <f>_xlfn.XLOOKUP(E29,TCL_Nodes!B:B,TCL_Nodes!D:D)</f>
        <v>5.73</v>
      </c>
      <c r="M29" s="66">
        <f ca="1">_xlfn.XLOOKUP(F29,TCL_Nodes!B:B,TCL_Nodes!C:C)</f>
        <v>11.98</v>
      </c>
      <c r="N29" s="66">
        <f ca="1">_xlfn.XLOOKUP(F29,TCL_Nodes!B:B,TCL_Nodes!D:D)</f>
        <v>5.73</v>
      </c>
      <c r="O29" s="113">
        <f t="shared" ca="1" si="1"/>
        <v>5.1699999999999982</v>
      </c>
      <c r="P29" s="113">
        <f t="shared" ca="1" si="2"/>
        <v>4.2</v>
      </c>
      <c r="Q29" s="67">
        <f t="shared" ca="1" si="3"/>
        <v>21.713999999999992</v>
      </c>
      <c r="R29" s="68">
        <f t="shared" ca="1" si="0"/>
        <v>7127.3272171253784</v>
      </c>
      <c r="S29" s="68">
        <f t="shared" ca="1" si="4"/>
        <v>1781.8318042813446</v>
      </c>
      <c r="V29" s="1"/>
    </row>
    <row r="30" spans="1:26" x14ac:dyDescent="0.3">
      <c r="A30" s="66">
        <v>23</v>
      </c>
      <c r="B30" s="66">
        <v>1</v>
      </c>
      <c r="C30" s="9">
        <f>TCL_Shells!D30</f>
        <v>313</v>
      </c>
      <c r="D30" s="9">
        <f>TCL_Shells!E30</f>
        <v>314</v>
      </c>
      <c r="E30" s="9">
        <f>TCL_Shells!F30</f>
        <v>311</v>
      </c>
      <c r="F30" s="9">
        <f>TCL_Shells!G30</f>
        <v>55</v>
      </c>
      <c r="G30" s="66">
        <f ca="1">_xlfn.XLOOKUP(C30,TCL_Nodes!B:B,TCL_Nodes!C:C)</f>
        <v>7.31</v>
      </c>
      <c r="H30" s="66">
        <f ca="1">_xlfn.XLOOKUP(C30,TCL_Nodes!B:B,TCL_Nodes!D:D)</f>
        <v>1.88</v>
      </c>
      <c r="I30" s="66">
        <f ca="1">_xlfn.XLOOKUP(D30,TCL_Nodes!B:B,TCL_Nodes!C:C)</f>
        <v>9.48</v>
      </c>
      <c r="J30" s="66">
        <f ca="1">_xlfn.XLOOKUP(D30,TCL_Nodes!B:B,TCL_Nodes!D:D)</f>
        <v>1.88</v>
      </c>
      <c r="K30" s="66">
        <f ca="1">_xlfn.XLOOKUP(E30,TCL_Nodes!B:B,TCL_Nodes!C:C)</f>
        <v>9.48</v>
      </c>
      <c r="L30" s="66">
        <f ca="1">_xlfn.XLOOKUP(E30,TCL_Nodes!B:B,TCL_Nodes!D:D)</f>
        <v>3.98</v>
      </c>
      <c r="M30" s="66">
        <f>_xlfn.XLOOKUP(F30,TCL_Nodes!B:B,TCL_Nodes!C:C)</f>
        <v>7.31</v>
      </c>
      <c r="N30" s="66">
        <f ca="1">_xlfn.XLOOKUP(F30,TCL_Nodes!B:B,TCL_Nodes!D:D)</f>
        <v>3.98</v>
      </c>
      <c r="O30" s="113">
        <f t="shared" ca="1" si="1"/>
        <v>2.1700000000000008</v>
      </c>
      <c r="P30" s="113">
        <f t="shared" ca="1" si="2"/>
        <v>2.1</v>
      </c>
      <c r="Q30" s="67">
        <f t="shared" ca="1" si="3"/>
        <v>4.5570000000000022</v>
      </c>
      <c r="R30" s="68">
        <f t="shared" ca="1" si="0"/>
        <v>1701.4646490825696</v>
      </c>
      <c r="S30" s="68">
        <f t="shared" ca="1" si="4"/>
        <v>425.36616227064241</v>
      </c>
    </row>
    <row r="31" spans="1:26" x14ac:dyDescent="0.3">
      <c r="A31" s="66">
        <v>24</v>
      </c>
      <c r="B31" s="66">
        <v>2</v>
      </c>
      <c r="C31" s="9">
        <f>TCL_Shells!D31</f>
        <v>2</v>
      </c>
      <c r="D31" s="9">
        <f>TCL_Shells!E31</f>
        <v>315</v>
      </c>
      <c r="E31" s="9">
        <f>TCL_Shells!F31</f>
        <v>314</v>
      </c>
      <c r="F31" s="9">
        <f>TCL_Shells!G31</f>
        <v>312</v>
      </c>
      <c r="G31" s="66">
        <f>_xlfn.XLOOKUP(C31,TCL_Nodes!B:B,TCL_Nodes!C:C)</f>
        <v>5.18</v>
      </c>
      <c r="H31" s="66">
        <f>_xlfn.XLOOKUP(C31,TCL_Nodes!B:B,TCL_Nodes!D:D)</f>
        <v>0</v>
      </c>
      <c r="I31" s="66">
        <f>_xlfn.XLOOKUP(D31,TCL_Nodes!B:B,TCL_Nodes!C:C)</f>
        <v>9.48</v>
      </c>
      <c r="J31" s="66">
        <f>_xlfn.XLOOKUP(D31,TCL_Nodes!B:B,TCL_Nodes!D:D)</f>
        <v>0</v>
      </c>
      <c r="K31" s="66">
        <f ca="1">_xlfn.XLOOKUP(E31,TCL_Nodes!B:B,TCL_Nodes!C:C)</f>
        <v>9.48</v>
      </c>
      <c r="L31" s="66">
        <f>_xlfn.XLOOKUP(E31,TCL_Nodes!B:B,TCL_Nodes!D:D)</f>
        <v>1.88</v>
      </c>
      <c r="M31" s="66">
        <f ca="1">_xlfn.XLOOKUP(F31,TCL_Nodes!B:B,TCL_Nodes!C:C)</f>
        <v>5.18</v>
      </c>
      <c r="N31" s="66">
        <f>_xlfn.XLOOKUP(F31,TCL_Nodes!B:B,TCL_Nodes!D:D)</f>
        <v>1.88</v>
      </c>
      <c r="O31" s="113">
        <f t="shared" ca="1" si="1"/>
        <v>4.3000000000000007</v>
      </c>
      <c r="P31" s="113">
        <f t="shared" si="2"/>
        <v>1.88</v>
      </c>
      <c r="Q31" s="67">
        <f t="shared" ca="1" si="3"/>
        <v>8.0840000000000014</v>
      </c>
      <c r="R31" s="68">
        <f t="shared" ca="1" si="0"/>
        <v>2653.4638124362896</v>
      </c>
      <c r="S31" s="68">
        <f t="shared" ca="1" si="4"/>
        <v>663.36595310907239</v>
      </c>
    </row>
    <row r="32" spans="1:26" x14ac:dyDescent="0.3">
      <c r="A32" s="66">
        <v>25</v>
      </c>
      <c r="B32" s="66">
        <v>2</v>
      </c>
      <c r="C32" s="9">
        <f>TCL_Shells!D32</f>
        <v>5</v>
      </c>
      <c r="D32" s="9">
        <f>TCL_Shells!E32</f>
        <v>6</v>
      </c>
      <c r="E32" s="9">
        <f>TCL_Shells!F32</f>
        <v>70</v>
      </c>
      <c r="F32" s="9">
        <f>TCL_Shells!G32</f>
        <v>100</v>
      </c>
      <c r="G32" s="66">
        <f ca="1">_xlfn.XLOOKUP(C32,TCL_Nodes!B:B,TCL_Nodes!C:C)</f>
        <v>11.98</v>
      </c>
      <c r="H32" s="66">
        <f>_xlfn.XLOOKUP(C32,TCL_Nodes!B:B,TCL_Nodes!D:D)</f>
        <v>0</v>
      </c>
      <c r="I32" s="66">
        <f ca="1">_xlfn.XLOOKUP(D32,TCL_Nodes!B:B,TCL_Nodes!C:C)</f>
        <v>17.149999999999999</v>
      </c>
      <c r="J32" s="66">
        <f ca="1">_xlfn.XLOOKUP(D32,TCL_Nodes!B:B,TCL_Nodes!D:D)</f>
        <v>0</v>
      </c>
      <c r="K32" s="66">
        <f>_xlfn.XLOOKUP(E32,TCL_Nodes!B:B,TCL_Nodes!C:C)</f>
        <v>17.149999999999999</v>
      </c>
      <c r="L32" s="66">
        <f>_xlfn.XLOOKUP(E32,TCL_Nodes!B:B,TCL_Nodes!D:D)</f>
        <v>1.53</v>
      </c>
      <c r="M32" s="66">
        <f ca="1">_xlfn.XLOOKUP(F32,TCL_Nodes!B:B,TCL_Nodes!C:C)</f>
        <v>11.98</v>
      </c>
      <c r="N32" s="66">
        <f ca="1">_xlfn.XLOOKUP(F32,TCL_Nodes!B:B,TCL_Nodes!D:D)</f>
        <v>1.53</v>
      </c>
      <c r="O32" s="113">
        <f t="shared" ca="1" si="1"/>
        <v>5.1699999999999982</v>
      </c>
      <c r="P32" s="113">
        <f t="shared" ca="1" si="2"/>
        <v>1.53</v>
      </c>
      <c r="Q32" s="67">
        <f t="shared" ca="1" si="3"/>
        <v>7.9100999999999972</v>
      </c>
      <c r="R32" s="68">
        <f t="shared" ca="1" si="0"/>
        <v>2596.3834862385311</v>
      </c>
      <c r="S32" s="68">
        <f t="shared" ca="1" si="4"/>
        <v>649.09587155963277</v>
      </c>
    </row>
    <row r="33" spans="2:19" x14ac:dyDescent="0.3">
      <c r="C33" s="6"/>
      <c r="D33" s="6"/>
      <c r="E33" s="6"/>
      <c r="F33" s="6"/>
      <c r="Q33" s="1"/>
      <c r="R33" s="29"/>
      <c r="S33" s="29"/>
    </row>
    <row r="34" spans="2:19" x14ac:dyDescent="0.3">
      <c r="C34" s="6"/>
      <c r="D34" s="6"/>
      <c r="E34" s="6"/>
      <c r="F34" s="6"/>
      <c r="Q34" s="1"/>
      <c r="R34" s="29"/>
      <c r="S34" s="29"/>
    </row>
    <row r="35" spans="2:19" ht="14.5" thickBot="1" x14ac:dyDescent="0.35">
      <c r="B35" s="114" t="s">
        <v>161</v>
      </c>
      <c r="C35" s="114" t="s">
        <v>122</v>
      </c>
      <c r="D35" s="114"/>
      <c r="E35" s="114"/>
      <c r="F35" s="114"/>
      <c r="G35" s="114"/>
    </row>
    <row r="36" spans="2:19" x14ac:dyDescent="0.3">
      <c r="B36" s="66">
        <v>1</v>
      </c>
      <c r="C36" s="144">
        <f>'B_Surface loads'!G19</f>
        <v>373.37385321100919</v>
      </c>
      <c r="D36" s="144"/>
    </row>
    <row r="37" spans="2:19" x14ac:dyDescent="0.3">
      <c r="B37" s="66">
        <v>2</v>
      </c>
      <c r="C37" s="144">
        <f>'B_Surface loads'!G31</f>
        <v>328.23649337410802</v>
      </c>
      <c r="D37" s="144"/>
    </row>
  </sheetData>
  <mergeCells count="3">
    <mergeCell ref="B3:C3"/>
    <mergeCell ref="C36:D36"/>
    <mergeCell ref="C37:D37"/>
  </mergeCells>
  <pageMargins left="0.7" right="0.7" top="0.78740157499999996" bottom="0.78740157499999996" header="0.3" footer="0.3"/>
  <pageSetup paperSize="9" scale="75" orientation="landscape" r:id="rId1"/>
  <headerFooter>
    <oddHeader>&amp;LMaster Thesis 2023/2024&amp;CSt. Lawrence Parish House,
Petrinja, Croatia&amp;R&amp;G</oddHeader>
    <oddFooter>&amp;L&amp;A&amp;CModel: Initial state&amp;R&amp;P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50FAE-98A9-40FA-A587-9F47073F8C92}">
  <sheetPr>
    <tabColor theme="6"/>
  </sheetPr>
  <dimension ref="A1:P33"/>
  <sheetViews>
    <sheetView view="pageLayout" zoomScaleNormal="85" workbookViewId="0">
      <selection activeCell="F4" sqref="F4"/>
    </sheetView>
  </sheetViews>
  <sheetFormatPr baseColWidth="10" defaultColWidth="10.6640625" defaultRowHeight="14" x14ac:dyDescent="0.3"/>
  <cols>
    <col min="1" max="1" width="14.08203125" customWidth="1"/>
    <col min="4" max="4" width="19.6640625" customWidth="1"/>
    <col min="6" max="6" width="6" customWidth="1"/>
    <col min="7" max="7" width="20.25" customWidth="1"/>
  </cols>
  <sheetData>
    <row r="1" spans="1:16" s="105" customFormat="1" ht="17" thickBot="1" x14ac:dyDescent="0.4">
      <c r="A1" s="102" t="s">
        <v>411</v>
      </c>
      <c r="B1" s="103"/>
      <c r="C1" s="104"/>
      <c r="D1" s="104"/>
      <c r="E1" s="103"/>
      <c r="F1" s="103"/>
      <c r="G1" s="103"/>
      <c r="H1" s="107"/>
      <c r="I1" s="107"/>
      <c r="J1" s="107"/>
      <c r="K1" s="107"/>
      <c r="L1" s="107"/>
      <c r="M1" s="107"/>
      <c r="N1" s="107"/>
      <c r="O1" s="107"/>
      <c r="P1" s="107"/>
    </row>
    <row r="2" spans="1:16" x14ac:dyDescent="0.3">
      <c r="A2" s="61" t="s">
        <v>378</v>
      </c>
      <c r="B2" t="s">
        <v>379</v>
      </c>
      <c r="C2" s="25"/>
      <c r="O2" s="19"/>
      <c r="P2" s="19"/>
    </row>
    <row r="3" spans="1:16" x14ac:dyDescent="0.3">
      <c r="A3" s="61" t="s">
        <v>375</v>
      </c>
      <c r="B3" s="140">
        <f ca="1">TODAY()</f>
        <v>45304</v>
      </c>
      <c r="C3" s="140"/>
      <c r="O3" s="19"/>
      <c r="P3" s="19"/>
    </row>
    <row r="4" spans="1:16" x14ac:dyDescent="0.3">
      <c r="A4" s="61" t="s">
        <v>398</v>
      </c>
      <c r="B4" t="s">
        <v>417</v>
      </c>
      <c r="C4" s="25"/>
      <c r="O4" s="19"/>
      <c r="P4" s="19"/>
    </row>
    <row r="5" spans="1:16" x14ac:dyDescent="0.3">
      <c r="A5" s="61" t="s">
        <v>377</v>
      </c>
      <c r="B5" t="s">
        <v>410</v>
      </c>
      <c r="C5" s="25"/>
      <c r="O5" s="19"/>
      <c r="P5" s="19"/>
    </row>
    <row r="6" spans="1:16" s="6" customFormat="1" x14ac:dyDescent="0.3">
      <c r="O6" s="7"/>
      <c r="P6" s="7"/>
    </row>
    <row r="7" spans="1:16" ht="14.5" thickBot="1" x14ac:dyDescent="0.35">
      <c r="A7" s="114" t="s">
        <v>214</v>
      </c>
      <c r="B7" s="114" t="s">
        <v>12</v>
      </c>
      <c r="C7" s="114" t="s">
        <v>13</v>
      </c>
      <c r="D7" s="114" t="s">
        <v>233</v>
      </c>
      <c r="E7" s="114" t="s">
        <v>234</v>
      </c>
      <c r="F7" s="114"/>
      <c r="G7" s="114" t="s">
        <v>246</v>
      </c>
      <c r="H7" s="114"/>
      <c r="I7" s="114"/>
    </row>
    <row r="8" spans="1:16" x14ac:dyDescent="0.3">
      <c r="A8" s="66">
        <v>1</v>
      </c>
      <c r="B8" s="69">
        <f ca="1">_xlfn.XLOOKUP(A8,TCL_Nodes!B:B,TCL_Nodes!C:C)</f>
        <v>0</v>
      </c>
      <c r="C8" s="69">
        <f ca="1">_xlfn.XLOOKUP(A8,TCL_Nodes!B:B,TCL_Nodes!D:D)</f>
        <v>0</v>
      </c>
      <c r="D8" s="66">
        <f ca="1">(B9-B8)/2</f>
        <v>2.59</v>
      </c>
      <c r="E8" s="65">
        <f ca="1">D8/$H$8*$H$28/2</f>
        <v>709.67584097859321</v>
      </c>
      <c r="F8" s="25"/>
      <c r="G8" s="66" t="s">
        <v>218</v>
      </c>
      <c r="H8" s="69">
        <f ca="1">MAX(B8:B27)</f>
        <v>17.149999999999999</v>
      </c>
      <c r="I8" s="66" t="s">
        <v>220</v>
      </c>
    </row>
    <row r="9" spans="1:16" x14ac:dyDescent="0.3">
      <c r="A9" s="66">
        <v>2</v>
      </c>
      <c r="B9" s="69">
        <f ca="1">_xlfn.XLOOKUP(A9,TCL_Nodes!B:B,TCL_Nodes!C:C)</f>
        <v>5.18</v>
      </c>
      <c r="C9" s="69">
        <f ca="1">_xlfn.XLOOKUP(A9,TCL_Nodes!B:B,TCL_Nodes!D:D)</f>
        <v>0</v>
      </c>
      <c r="D9" s="66">
        <f ca="1">(B9-B8)/2+(B10-B9)/2</f>
        <v>4.29</v>
      </c>
      <c r="E9" s="65">
        <f ca="1">D9/$H$8*$H$28</f>
        <v>2350.9724770642206</v>
      </c>
      <c r="F9" s="25"/>
      <c r="G9" s="66" t="s">
        <v>219</v>
      </c>
      <c r="H9" s="69">
        <f ca="1">MAX(C8:C27)</f>
        <v>11.35</v>
      </c>
      <c r="I9" s="66" t="s">
        <v>220</v>
      </c>
    </row>
    <row r="10" spans="1:16" x14ac:dyDescent="0.3">
      <c r="A10" s="66">
        <v>3</v>
      </c>
      <c r="B10" s="69">
        <f>_xlfn.XLOOKUP(A10,TCL_Nodes!B:B,TCL_Nodes!C:C)</f>
        <v>8.58</v>
      </c>
      <c r="C10" s="69">
        <f>_xlfn.XLOOKUP(A10,TCL_Nodes!B:B,TCL_Nodes!D:D)</f>
        <v>0</v>
      </c>
      <c r="D10" s="66">
        <f ca="1">(B10-B9)/2+(B11-B10)/2</f>
        <v>3.4000000000000004</v>
      </c>
      <c r="E10" s="65">
        <f ca="1">D10/$H$8*$H$28</f>
        <v>1863.2415902140674</v>
      </c>
      <c r="F10" s="25"/>
    </row>
    <row r="11" spans="1:16" x14ac:dyDescent="0.3">
      <c r="A11" s="66">
        <v>5</v>
      </c>
      <c r="B11" s="69">
        <f>_xlfn.XLOOKUP(A11,TCL_Nodes!B:B,TCL_Nodes!C:C)</f>
        <v>11.98</v>
      </c>
      <c r="C11" s="69">
        <f>_xlfn.XLOOKUP(A11,TCL_Nodes!B:B,TCL_Nodes!D:D)</f>
        <v>0</v>
      </c>
      <c r="D11" s="66">
        <f ca="1">(B11-B10)/2+(B12-B11)/2</f>
        <v>4.2849999999999993</v>
      </c>
      <c r="E11" s="65">
        <f ca="1">D11/$H$8*$H$28</f>
        <v>2348.2324159021405</v>
      </c>
      <c r="F11" s="25"/>
      <c r="G11" s="66" t="s">
        <v>244</v>
      </c>
      <c r="H11" s="66">
        <v>2.8</v>
      </c>
      <c r="I11" s="66" t="s">
        <v>220</v>
      </c>
    </row>
    <row r="12" spans="1:16" x14ac:dyDescent="0.3">
      <c r="A12" s="66">
        <v>6</v>
      </c>
      <c r="B12" s="69">
        <f ca="1">_xlfn.XLOOKUP(A12,TCL_Nodes!B:B,TCL_Nodes!C:C)</f>
        <v>17.149999999999999</v>
      </c>
      <c r="C12" s="69">
        <f ca="1">_xlfn.XLOOKUP(A12,TCL_Nodes!B:B,TCL_Nodes!D:D)</f>
        <v>0</v>
      </c>
      <c r="D12" s="66">
        <f ca="1">(B12-B11)/2</f>
        <v>2.5849999999999991</v>
      </c>
      <c r="E12" s="65">
        <f ca="1">D12/$H$8*$H$28/2</f>
        <v>708.30581039755327</v>
      </c>
      <c r="F12" s="25"/>
      <c r="G12" s="66" t="s">
        <v>245</v>
      </c>
      <c r="H12" s="115">
        <v>2.6</v>
      </c>
      <c r="I12" s="66" t="s">
        <v>220</v>
      </c>
    </row>
    <row r="13" spans="1:16" ht="14.5" thickBot="1" x14ac:dyDescent="0.35">
      <c r="A13" s="114" t="s">
        <v>215</v>
      </c>
      <c r="B13" s="114"/>
      <c r="C13" s="114"/>
      <c r="D13" s="114"/>
      <c r="E13" s="114"/>
      <c r="F13" s="25"/>
      <c r="H13" s="42"/>
    </row>
    <row r="14" spans="1:16" x14ac:dyDescent="0.3">
      <c r="A14" s="66">
        <v>61</v>
      </c>
      <c r="B14" s="69">
        <f ca="1">_xlfn.XLOOKUP(A14,TCL_Nodes!B:B,TCL_Nodes!C:C)</f>
        <v>17.149999999999999</v>
      </c>
      <c r="C14" s="69">
        <f ca="1">_xlfn.XLOOKUP(A14,TCL_Nodes!B:B,TCL_Nodes!D:D)</f>
        <v>0</v>
      </c>
      <c r="D14" s="66">
        <f ca="1">(C15-C14)/2</f>
        <v>0.76500000000000001</v>
      </c>
      <c r="E14" s="65">
        <f ca="1">D14/$H$9*$H$25/2</f>
        <v>194.64220183486242</v>
      </c>
      <c r="G14" s="66" t="s">
        <v>247</v>
      </c>
      <c r="H14" s="66">
        <f>6*5.6</f>
        <v>33.599999999999994</v>
      </c>
      <c r="I14" s="66" t="s">
        <v>249</v>
      </c>
    </row>
    <row r="15" spans="1:16" x14ac:dyDescent="0.3">
      <c r="A15" s="66">
        <v>19</v>
      </c>
      <c r="B15" s="69">
        <f>_xlfn.XLOOKUP(A15,TCL_Nodes!B:B,TCL_Nodes!C:C)</f>
        <v>17.149999999999999</v>
      </c>
      <c r="C15" s="69">
        <f>_xlfn.XLOOKUP(A15,TCL_Nodes!B:B,TCL_Nodes!D:D)</f>
        <v>1.53</v>
      </c>
      <c r="D15" s="66">
        <f ca="1">(C15-C14)/2+(C16-C15)/2</f>
        <v>2.8650000000000002</v>
      </c>
      <c r="E15" s="65">
        <f ca="1">D15/$H$9*$H$25</f>
        <v>1457.9082568807344</v>
      </c>
      <c r="F15" s="25"/>
      <c r="G15" s="66" t="s">
        <v>248</v>
      </c>
      <c r="H15" s="66">
        <f>6*5.6</f>
        <v>33.599999999999994</v>
      </c>
      <c r="I15" s="66" t="s">
        <v>249</v>
      </c>
      <c r="J15" s="25"/>
    </row>
    <row r="16" spans="1:16" x14ac:dyDescent="0.3">
      <c r="A16" s="66">
        <v>20</v>
      </c>
      <c r="B16" s="69">
        <f ca="1">_xlfn.XLOOKUP(A16,TCL_Nodes!B:B,TCL_Nodes!C:C)</f>
        <v>17.149999999999999</v>
      </c>
      <c r="C16" s="69">
        <f ca="1">_xlfn.XLOOKUP(A16,TCL_Nodes!B:B,TCL_Nodes!D:D)</f>
        <v>5.73</v>
      </c>
      <c r="D16" s="66">
        <f ca="1">(C16-C15)/2+(C17-C16)/2</f>
        <v>4.91</v>
      </c>
      <c r="E16" s="65">
        <f ca="1">D16/$H$9*$H$25</f>
        <v>2498.5443425076455</v>
      </c>
      <c r="F16" s="25"/>
    </row>
    <row r="17" spans="1:9" x14ac:dyDescent="0.3">
      <c r="A17" s="66">
        <v>21</v>
      </c>
      <c r="B17" s="69">
        <f ca="1">_xlfn.XLOOKUP(A17,TCL_Nodes!B:B,TCL_Nodes!C:C)</f>
        <v>17.149999999999999</v>
      </c>
      <c r="C17" s="69">
        <f>_xlfn.XLOOKUP(A17,TCL_Nodes!B:B,TCL_Nodes!D:D)</f>
        <v>11.35</v>
      </c>
      <c r="D17" s="66">
        <f ca="1">(C17-C16)/2</f>
        <v>2.8099999999999996</v>
      </c>
      <c r="E17" s="65">
        <f ca="1">D17/$H$9*$H$25/2</f>
        <v>714.96024464831805</v>
      </c>
      <c r="F17" s="25"/>
    </row>
    <row r="18" spans="1:9" ht="14.5" thickBot="1" x14ac:dyDescent="0.35">
      <c r="A18" s="114" t="s">
        <v>216</v>
      </c>
      <c r="B18" s="114"/>
      <c r="C18" s="114"/>
      <c r="D18" s="114"/>
      <c r="E18" s="114"/>
      <c r="F18" s="25"/>
    </row>
    <row r="19" spans="1:9" ht="14.5" thickBot="1" x14ac:dyDescent="0.35">
      <c r="A19" s="66">
        <v>31</v>
      </c>
      <c r="B19" s="69">
        <f>_xlfn.XLOOKUP(A19,TCL_Nodes!B:B,TCL_Nodes!C:C)</f>
        <v>0</v>
      </c>
      <c r="C19" s="69">
        <f>_xlfn.XLOOKUP(A19,TCL_Nodes!B:B,TCL_Nodes!D:D)</f>
        <v>11.35</v>
      </c>
      <c r="D19" s="66">
        <f>(B20-B19)/2</f>
        <v>2.59</v>
      </c>
      <c r="E19" s="65">
        <f ca="1">D19/$H$8*$H$27/2</f>
        <v>709.67584097859321</v>
      </c>
      <c r="G19" s="114" t="s">
        <v>221</v>
      </c>
      <c r="H19" s="114"/>
      <c r="I19" s="114"/>
    </row>
    <row r="20" spans="1:9" ht="16.5" x14ac:dyDescent="0.3">
      <c r="A20" s="66">
        <v>30</v>
      </c>
      <c r="B20" s="69">
        <f>_xlfn.XLOOKUP(A20,TCL_Nodes!B:B,TCL_Nodes!C:C)</f>
        <v>5.18</v>
      </c>
      <c r="C20" s="69">
        <f>_xlfn.XLOOKUP(A20,TCL_Nodes!B:B,TCL_Nodes!D:D)</f>
        <v>11.35</v>
      </c>
      <c r="D20" s="66">
        <f>(B20-B19)/2+(B21-B20)/2</f>
        <v>4.74</v>
      </c>
      <c r="E20" s="65">
        <f ca="1">D20/$H$8*$H$27</f>
        <v>2597.5779816513764</v>
      </c>
      <c r="F20" s="25"/>
      <c r="G20" s="66" t="s">
        <v>222</v>
      </c>
      <c r="H20" s="65">
        <f>'B_Surface loads'!G40</f>
        <v>195.71865443425077</v>
      </c>
      <c r="I20" s="66" t="s">
        <v>224</v>
      </c>
    </row>
    <row r="21" spans="1:9" ht="16.5" x14ac:dyDescent="0.3">
      <c r="A21" s="66">
        <v>29</v>
      </c>
      <c r="B21" s="69">
        <f>_xlfn.XLOOKUP(A21,TCL_Nodes!B:B,TCL_Nodes!C:C)</f>
        <v>9.48</v>
      </c>
      <c r="C21" s="69">
        <f>_xlfn.XLOOKUP(A21,TCL_Nodes!B:B,TCL_Nodes!D:D)</f>
        <v>11.35</v>
      </c>
      <c r="D21" s="66">
        <f t="shared" ref="D21:D22" si="0">(B21-B20)/2+(B22-B21)/2</f>
        <v>3.4000000000000004</v>
      </c>
      <c r="E21" s="65">
        <f ca="1">D21/$H$8*$H$27</f>
        <v>1863.2415902140674</v>
      </c>
      <c r="F21" s="25"/>
      <c r="G21" s="66" t="s">
        <v>223</v>
      </c>
      <c r="H21" s="65">
        <f ca="1">H8*H9</f>
        <v>194.65249999999997</v>
      </c>
      <c r="I21" s="66" t="s">
        <v>225</v>
      </c>
    </row>
    <row r="22" spans="1:9" x14ac:dyDescent="0.3">
      <c r="A22" s="66">
        <v>28</v>
      </c>
      <c r="B22" s="69">
        <f>_xlfn.XLOOKUP(A22,TCL_Nodes!B:B,TCL_Nodes!C:C)</f>
        <v>11.98</v>
      </c>
      <c r="C22" s="69">
        <f ca="1">_xlfn.XLOOKUP(A22,TCL_Nodes!B:B,TCL_Nodes!D:D)</f>
        <v>11.35</v>
      </c>
      <c r="D22" s="66">
        <f t="shared" ca="1" si="0"/>
        <v>3.8349999999999991</v>
      </c>
      <c r="E22" s="65">
        <f ca="1">D22/$H$8*$H$27</f>
        <v>2101.6269113149842</v>
      </c>
      <c r="F22" s="25"/>
      <c r="G22" s="66" t="s">
        <v>226</v>
      </c>
      <c r="H22" s="65">
        <f ca="1">H20*H21</f>
        <v>38097.125382262995</v>
      </c>
      <c r="I22" s="66" t="s">
        <v>227</v>
      </c>
    </row>
    <row r="23" spans="1:9" x14ac:dyDescent="0.3">
      <c r="A23" s="66">
        <v>72</v>
      </c>
      <c r="B23" s="69">
        <f ca="1">_xlfn.XLOOKUP(A23,TCL_Nodes!B:B,TCL_Nodes!C:C)</f>
        <v>17.149999999999999</v>
      </c>
      <c r="C23" s="69">
        <f>_xlfn.XLOOKUP(A23,TCL_Nodes!B:B,TCL_Nodes!D:D)</f>
        <v>11.35</v>
      </c>
      <c r="D23" s="66">
        <f ca="1">(B23-B22)/2</f>
        <v>2.5849999999999991</v>
      </c>
      <c r="E23" s="65">
        <f ca="1">D23/$H$8*$H$27/2</f>
        <v>708.30581039755327</v>
      </c>
      <c r="F23" s="25"/>
      <c r="H23" s="25"/>
    </row>
    <row r="24" spans="1:9" ht="14.5" thickBot="1" x14ac:dyDescent="0.35">
      <c r="A24" s="114" t="s">
        <v>217</v>
      </c>
      <c r="B24" s="114"/>
      <c r="C24" s="114"/>
      <c r="D24" s="114"/>
      <c r="E24" s="114"/>
      <c r="F24" s="25"/>
      <c r="G24" s="66" t="s">
        <v>229</v>
      </c>
      <c r="H24" s="65">
        <f ca="1">H8*H12*H20</f>
        <v>8727.0948012232402</v>
      </c>
      <c r="I24" s="66" t="s">
        <v>228</v>
      </c>
    </row>
    <row r="25" spans="1:9" x14ac:dyDescent="0.3">
      <c r="A25" s="66">
        <v>58</v>
      </c>
      <c r="B25" s="69">
        <f ca="1">_xlfn.XLOOKUP(A25,TCL_Nodes!B:B,TCL_Nodes!C:C)</f>
        <v>0</v>
      </c>
      <c r="C25" s="69">
        <f>_xlfn.XLOOKUP(A25,TCL_Nodes!B:B,TCL_Nodes!D:D)</f>
        <v>0</v>
      </c>
      <c r="D25" s="66">
        <f>(C26-C25)/2</f>
        <v>2.8650000000000002</v>
      </c>
      <c r="E25" s="65">
        <f ca="1">D25/$H$9*$H$24/2</f>
        <v>1101.459321828396</v>
      </c>
      <c r="F25" s="25"/>
      <c r="G25" s="66" t="s">
        <v>230</v>
      </c>
      <c r="H25" s="65">
        <f ca="1">H9*H12*H20</f>
        <v>5775.6574923547405</v>
      </c>
      <c r="I25" s="66" t="s">
        <v>228</v>
      </c>
    </row>
    <row r="26" spans="1:9" x14ac:dyDescent="0.3">
      <c r="A26" s="66">
        <v>40</v>
      </c>
      <c r="B26" s="69">
        <f ca="1">_xlfn.XLOOKUP(A26,TCL_Nodes!B:B,TCL_Nodes!C:C)</f>
        <v>0</v>
      </c>
      <c r="C26" s="69">
        <f>_xlfn.XLOOKUP(A26,TCL_Nodes!B:B,TCL_Nodes!D:D)</f>
        <v>5.73</v>
      </c>
      <c r="D26" s="66">
        <f ca="1">(C26-C25)/2+(C27-C26)/2</f>
        <v>5.6749999999999998</v>
      </c>
      <c r="E26" s="65">
        <f ca="1">D26/$H$9*$H$24</f>
        <v>4363.5474006116201</v>
      </c>
      <c r="F26" s="25"/>
      <c r="H26" s="25"/>
    </row>
    <row r="27" spans="1:9" x14ac:dyDescent="0.3">
      <c r="A27" s="66">
        <v>81</v>
      </c>
      <c r="B27" s="69">
        <f>_xlfn.XLOOKUP(A27,TCL_Nodes!B:B,TCL_Nodes!C:C)</f>
        <v>0</v>
      </c>
      <c r="C27" s="69">
        <f ca="1">_xlfn.XLOOKUP(A27,TCL_Nodes!B:B,TCL_Nodes!D:D)</f>
        <v>11.35</v>
      </c>
      <c r="D27" s="66">
        <f ca="1">(C27-C26)/2</f>
        <v>2.8099999999999996</v>
      </c>
      <c r="E27" s="65">
        <f ca="1">D27/$H$9*$H$24/2</f>
        <v>1080.3143784774143</v>
      </c>
      <c r="F27" s="25"/>
      <c r="G27" s="66" t="s">
        <v>231</v>
      </c>
      <c r="H27" s="65">
        <f ca="1">H8*H11*H20</f>
        <v>9398.4097859327212</v>
      </c>
      <c r="I27" s="66" t="s">
        <v>228</v>
      </c>
    </row>
    <row r="28" spans="1:9" x14ac:dyDescent="0.3">
      <c r="E28" s="25"/>
      <c r="F28" s="25"/>
      <c r="G28" s="66" t="s">
        <v>232</v>
      </c>
      <c r="H28" s="65">
        <f ca="1">H8*H11*H20</f>
        <v>9398.4097859327212</v>
      </c>
      <c r="I28" s="66" t="s">
        <v>228</v>
      </c>
    </row>
    <row r="29" spans="1:9" ht="14.5" thickBot="1" x14ac:dyDescent="0.35">
      <c r="A29" s="114" t="s">
        <v>250</v>
      </c>
      <c r="B29" s="114"/>
      <c r="C29" s="114"/>
      <c r="D29" s="114"/>
      <c r="E29" s="114"/>
      <c r="F29" s="25"/>
    </row>
    <row r="30" spans="1:9" x14ac:dyDescent="0.3">
      <c r="A30" s="66">
        <v>43</v>
      </c>
      <c r="B30" s="66">
        <f ca="1">_xlfn.XLOOKUP(A30,TCL_Nodes!B:B,TCL_Nodes!C:C)</f>
        <v>5.18</v>
      </c>
      <c r="C30" s="66">
        <f>_xlfn.XLOOKUP(A30,TCL_Nodes!B:B,TCL_Nodes!D:D)</f>
        <v>5.73</v>
      </c>
      <c r="D30" s="66"/>
      <c r="E30" s="65">
        <f>H14*H20/2</f>
        <v>3288.0733944954122</v>
      </c>
    </row>
    <row r="31" spans="1:9" x14ac:dyDescent="0.3">
      <c r="A31" s="66">
        <v>45</v>
      </c>
      <c r="B31" s="66">
        <f ca="1">_xlfn.XLOOKUP(A31,TCL_Nodes!B:B,TCL_Nodes!C:C)</f>
        <v>11.98</v>
      </c>
      <c r="C31" s="66">
        <f ca="1">_xlfn.XLOOKUP(A31,TCL_Nodes!B:B,TCL_Nodes!D:D)</f>
        <v>5.73</v>
      </c>
      <c r="D31" s="66"/>
      <c r="E31" s="65">
        <f>H15*H20/2</f>
        <v>3288.0733944954122</v>
      </c>
      <c r="G31" s="66" t="s">
        <v>251</v>
      </c>
      <c r="H31" s="65">
        <f ca="1">SUM(E8:E33)</f>
        <v>40524.525993883784</v>
      </c>
      <c r="I31" s="66" t="s">
        <v>228</v>
      </c>
    </row>
    <row r="32" spans="1:9" x14ac:dyDescent="0.3">
      <c r="A32" s="66">
        <v>91</v>
      </c>
      <c r="B32" s="66">
        <f>_xlfn.XLOOKUP(A32,TCL_Nodes!B:B,TCL_Nodes!C:C)</f>
        <v>5.18</v>
      </c>
      <c r="C32" s="66">
        <f>_xlfn.XLOOKUP(A32,TCL_Nodes!B:B,TCL_Nodes!D:D)</f>
        <v>5.73</v>
      </c>
      <c r="D32" s="66"/>
      <c r="E32" s="65">
        <f>H14*H20/2</f>
        <v>3288.0733944954122</v>
      </c>
      <c r="G32" s="66" t="s">
        <v>252</v>
      </c>
      <c r="H32" s="65">
        <f ca="1">H31-H22</f>
        <v>2427.4006116207893</v>
      </c>
      <c r="I32" s="66" t="s">
        <v>228</v>
      </c>
    </row>
    <row r="33" spans="1:8" x14ac:dyDescent="0.3">
      <c r="A33" s="66">
        <v>93</v>
      </c>
      <c r="B33" s="66">
        <f ca="1">_xlfn.XLOOKUP(A33,TCL_Nodes!B:B,TCL_Nodes!C:C)</f>
        <v>11.98</v>
      </c>
      <c r="C33" s="66">
        <f>_xlfn.XLOOKUP(A33,TCL_Nodes!B:B,TCL_Nodes!D:D)</f>
        <v>5.73</v>
      </c>
      <c r="D33" s="66"/>
      <c r="E33" s="65">
        <f>H15*H20/2</f>
        <v>3288.0733944954122</v>
      </c>
      <c r="H33" s="116">
        <f ca="1">H32/H31</f>
        <v>5.989954359952656E-2</v>
      </c>
    </row>
  </sheetData>
  <mergeCells count="1">
    <mergeCell ref="B3:C3"/>
  </mergeCells>
  <pageMargins left="0.7" right="0.7" top="0.78740157499999996" bottom="0.78740157499999996" header="0.3" footer="0.3"/>
  <pageSetup paperSize="9" orientation="landscape" r:id="rId1"/>
  <headerFooter>
    <oddHeader>&amp;LMaster Thesis 2023/2024&amp;CSt. Lawrence Parish House,
Petrinja, Croatia&amp;R&amp;G</oddHeader>
    <oddFooter>&amp;L&amp;A&amp;CModel: Initial state&amp;R&amp;P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6354-346B-471C-8EFD-61843CA17617}">
  <sheetPr>
    <tabColor theme="6"/>
  </sheetPr>
  <dimension ref="A1:R36"/>
  <sheetViews>
    <sheetView view="pageLayout" zoomScaleNormal="100" workbookViewId="0">
      <selection activeCell="H4" sqref="H4"/>
    </sheetView>
  </sheetViews>
  <sheetFormatPr baseColWidth="10" defaultColWidth="10.5" defaultRowHeight="14" x14ac:dyDescent="0.3"/>
  <cols>
    <col min="1" max="1" width="7.83203125" style="6" bestFit="1" customWidth="1"/>
    <col min="2" max="2" width="19.25" style="6" bestFit="1" customWidth="1"/>
    <col min="3" max="3" width="16.5" style="6" bestFit="1" customWidth="1"/>
    <col min="4" max="4" width="6.58203125" style="6" bestFit="1" customWidth="1"/>
    <col min="5" max="5" width="7.08203125" style="6" bestFit="1" customWidth="1"/>
    <col min="6" max="6" width="7.25" style="6" bestFit="1" customWidth="1"/>
    <col min="7" max="7" width="7.5" style="7" bestFit="1" customWidth="1"/>
    <col min="8" max="8" width="6.25" style="7" bestFit="1" customWidth="1"/>
    <col min="9" max="9" width="6.08203125" style="6" bestFit="1" customWidth="1"/>
    <col min="10" max="10" width="5.75" style="6" bestFit="1" customWidth="1"/>
    <col min="11" max="11" width="5.58203125" style="6" bestFit="1" customWidth="1"/>
    <col min="12" max="12" width="5.08203125" style="6" bestFit="1" customWidth="1"/>
    <col min="13" max="13" width="11.5" style="6" bestFit="1" customWidth="1"/>
    <col min="14" max="14" width="12.75" style="6" bestFit="1" customWidth="1"/>
    <col min="15" max="16" width="9.33203125" style="6" bestFit="1" customWidth="1"/>
    <col min="17" max="17" width="9.25" style="6" bestFit="1" customWidth="1"/>
    <col min="18" max="18" width="18" style="6" bestFit="1" customWidth="1"/>
    <col min="19" max="16384" width="10.5" style="6"/>
  </cols>
  <sheetData>
    <row r="1" spans="1:18" s="105" customFormat="1" ht="17" thickBot="1" x14ac:dyDescent="0.4">
      <c r="A1" s="102" t="s">
        <v>412</v>
      </c>
      <c r="B1" s="103"/>
      <c r="C1" s="104"/>
      <c r="D1" s="104"/>
      <c r="E1" s="103"/>
      <c r="F1" s="103"/>
      <c r="G1" s="103"/>
      <c r="H1" s="107"/>
      <c r="I1" s="107"/>
      <c r="J1" s="107"/>
      <c r="K1" s="107"/>
      <c r="L1" s="107"/>
      <c r="M1" s="107"/>
      <c r="N1" s="107"/>
      <c r="O1" s="107"/>
      <c r="P1" s="107"/>
    </row>
    <row r="2" spans="1:18" customFormat="1" x14ac:dyDescent="0.3">
      <c r="A2" s="61" t="s">
        <v>378</v>
      </c>
      <c r="B2" s="6"/>
      <c r="C2" t="s">
        <v>379</v>
      </c>
      <c r="O2" s="19"/>
      <c r="P2" s="19"/>
    </row>
    <row r="3" spans="1:18" customFormat="1" x14ac:dyDescent="0.3">
      <c r="A3" s="61" t="s">
        <v>375</v>
      </c>
      <c r="B3" s="6"/>
      <c r="C3" s="57">
        <f ca="1">TODAY()</f>
        <v>45304</v>
      </c>
      <c r="O3" s="19"/>
      <c r="P3" s="19"/>
    </row>
    <row r="4" spans="1:18" customFormat="1" x14ac:dyDescent="0.3">
      <c r="A4" s="61" t="s">
        <v>398</v>
      </c>
      <c r="B4" s="6"/>
      <c r="C4" t="s">
        <v>417</v>
      </c>
      <c r="O4" s="19"/>
      <c r="P4" s="19"/>
    </row>
    <row r="5" spans="1:18" customFormat="1" x14ac:dyDescent="0.3">
      <c r="A5" s="61" t="s">
        <v>377</v>
      </c>
      <c r="B5" s="6"/>
      <c r="C5" t="s">
        <v>410</v>
      </c>
      <c r="O5" s="19"/>
      <c r="P5" s="19"/>
    </row>
    <row r="6" spans="1:18" x14ac:dyDescent="0.3">
      <c r="G6" s="6"/>
      <c r="H6" s="6"/>
      <c r="O6" s="7"/>
      <c r="P6" s="7"/>
    </row>
    <row r="7" spans="1:18" s="7" customFormat="1" x14ac:dyDescent="0.3">
      <c r="A7" s="145" t="s">
        <v>254</v>
      </c>
      <c r="B7" s="145"/>
      <c r="C7" s="145"/>
      <c r="D7" s="45" t="s">
        <v>253</v>
      </c>
      <c r="E7" s="6">
        <v>0.08</v>
      </c>
    </row>
    <row r="8" spans="1:18" customFormat="1" ht="16.5" thickBot="1" x14ac:dyDescent="0.35">
      <c r="A8" s="114" t="s">
        <v>65</v>
      </c>
      <c r="B8" s="114" t="s">
        <v>79</v>
      </c>
      <c r="C8" s="114" t="s">
        <v>80</v>
      </c>
      <c r="D8" s="114" t="s">
        <v>22</v>
      </c>
      <c r="E8" s="114" t="s">
        <v>23</v>
      </c>
      <c r="F8" s="114" t="s">
        <v>67</v>
      </c>
      <c r="G8" s="114" t="s">
        <v>68</v>
      </c>
      <c r="H8" s="114" t="s">
        <v>69</v>
      </c>
      <c r="I8" s="114" t="s">
        <v>70</v>
      </c>
      <c r="J8" s="114" t="s">
        <v>81</v>
      </c>
      <c r="K8" s="114" t="s">
        <v>82</v>
      </c>
      <c r="L8" s="114" t="s">
        <v>83</v>
      </c>
      <c r="M8" s="114" t="s">
        <v>317</v>
      </c>
      <c r="N8" s="114" t="s">
        <v>318</v>
      </c>
      <c r="O8" s="114" t="s">
        <v>319</v>
      </c>
      <c r="P8" s="114" t="s">
        <v>320</v>
      </c>
      <c r="Q8" s="114" t="s">
        <v>256</v>
      </c>
      <c r="R8" s="114" t="s">
        <v>164</v>
      </c>
    </row>
    <row r="9" spans="1:18" x14ac:dyDescent="0.3">
      <c r="A9" s="9">
        <v>1</v>
      </c>
      <c r="B9" s="9" t="s">
        <v>13</v>
      </c>
      <c r="C9" s="9" t="s">
        <v>93</v>
      </c>
      <c r="D9" s="9">
        <f>_xlfn.XLOOKUP(A9+200,TCL_Shells!$C$8:$C$32,TCL_Shells!$D$8:$D$32)</f>
        <v>89</v>
      </c>
      <c r="E9" s="9" cm="1">
        <f t="array" ref="E9">_xlfn.XLOOKUP(A9+200,TCL_Shells!$C$8:$C$32,TCL_Shells!$E$8:E$32)</f>
        <v>46</v>
      </c>
      <c r="F9" s="9" cm="1">
        <f t="array" ref="F9">_xlfn.XLOOKUP(A9+200,TCL_Shells!$C$8:$C$32,TCL_Shells!$F$8:F$32)</f>
        <v>34</v>
      </c>
      <c r="G9" s="10" cm="1">
        <f t="array" ref="G9">_xlfn.XLOOKUP(A9+200,TCL_Shells!$C$8:$C$32,TCL_Shells!$G$8:G$32)</f>
        <v>35</v>
      </c>
      <c r="H9" s="9">
        <f ca="1">_xlfn.XLOOKUP(A9,M_Floor!$A$8:$A$34,M_Floor!$O$8:$O$34)</f>
        <v>5.18</v>
      </c>
      <c r="I9" s="9">
        <f ca="1">_xlfn.XLOOKUP(A9,M_Floor!$A$8:$A$34,M_Floor!$P$8:$P$34)</f>
        <v>5.6199999999999992</v>
      </c>
      <c r="J9" s="9">
        <v>0</v>
      </c>
      <c r="K9" s="10">
        <f>2.7+0.15/2-1.55</f>
        <v>1.2250000000000003</v>
      </c>
      <c r="L9" s="9">
        <v>0.15</v>
      </c>
      <c r="M9" s="20">
        <f ca="1">IF(B9="Y",(K9+L9+$E$7)*I9,IF(B9="X",(J9+L9+$E$7)*H9,0))</f>
        <v>8.1771000000000011</v>
      </c>
      <c r="N9" s="20">
        <f ca="1">IF(B9="Y",I9/2*(K9+L9)*PI()/2,IF(B9="X",H9/2*(J9+L9)*PI()/2,0))</f>
        <v>6.0691643076537813</v>
      </c>
      <c r="O9" s="20">
        <f ca="1">M9-N9</f>
        <v>2.1079356923462198</v>
      </c>
      <c r="P9" s="20">
        <f ca="1">IF(B9="Y",O9*H9,IF(B9="X",O9*I9,AVERAGE($E$7,K9+$E$7,K9+$E$7,J9+$E$7,J9+$E$7)*H9*I9))</f>
        <v>10.919106886353418</v>
      </c>
      <c r="Q9" s="20">
        <f ca="1">P9*'B_Surface loads'!$E$12</f>
        <v>15286.749640894786</v>
      </c>
      <c r="R9" s="53">
        <f ca="1">Q9/4</f>
        <v>3821.6874102236966</v>
      </c>
    </row>
    <row r="10" spans="1:18" x14ac:dyDescent="0.3">
      <c r="A10" s="9">
        <v>2</v>
      </c>
      <c r="B10" s="9" t="s">
        <v>13</v>
      </c>
      <c r="C10" s="9" t="s">
        <v>93</v>
      </c>
      <c r="D10" s="9">
        <f>_xlfn.XLOOKUP(A10+200,TCL_Shells!$C$8:$C$32,TCL_Shells!$D$8:$D$32)</f>
        <v>46</v>
      </c>
      <c r="E10" s="9" cm="1">
        <f t="array" ref="E10">_xlfn.XLOOKUP(A10+200,TCL_Shells!$C$8:$C$32,TCL_Shells!$E$8:E$32)</f>
        <v>47</v>
      </c>
      <c r="F10" s="9" cm="1">
        <f t="array" ref="F10">_xlfn.XLOOKUP(A10+200,TCL_Shells!$C$8:$C$32,TCL_Shells!$F$8:F$32)</f>
        <v>33</v>
      </c>
      <c r="G10" s="10" cm="1">
        <f t="array" ref="G10">_xlfn.XLOOKUP(A10+200,TCL_Shells!$C$8:$C$32,TCL_Shells!$G$8:G$32)</f>
        <v>34</v>
      </c>
      <c r="H10" s="9">
        <f ca="1">_xlfn.XLOOKUP(A10,M_Floor!$A$8:$A$34,M_Floor!$O$8:$O$34)</f>
        <v>4.3000000000000007</v>
      </c>
      <c r="I10" s="9">
        <f ca="1">_xlfn.XLOOKUP(A10,M_Floor!$A$8:$A$34,M_Floor!$P$8:$P$34)</f>
        <v>5.6199999999999992</v>
      </c>
      <c r="J10" s="9">
        <v>0</v>
      </c>
      <c r="K10" s="10">
        <f>2.7+0.15/2-1.55</f>
        <v>1.2250000000000003</v>
      </c>
      <c r="L10" s="9">
        <v>0.15</v>
      </c>
      <c r="M10" s="20">
        <f t="shared" ref="M10:M19" ca="1" si="0">IF(B10="Y",(K10+L10+$E$7)*I10,IF(B10="X",(J10+L10+$E$7)*H10,0))</f>
        <v>8.1771000000000011</v>
      </c>
      <c r="N10" s="20">
        <f t="shared" ref="N10:N19" ca="1" si="1">IF(B10="Y",I10/2*(K10+L10)*PI()/2,IF(B10="X",H10/2*(J10+L10)*PI()/2,0))</f>
        <v>6.0691643076537813</v>
      </c>
      <c r="O10" s="20">
        <f t="shared" ref="O10:O20" ca="1" si="2">M10-N10</f>
        <v>2.1079356923462198</v>
      </c>
      <c r="P10" s="20">
        <f t="shared" ref="P10:P20" ca="1" si="3">IF(B10="Y",O10*H10,IF(B10="X",O10*I10,AVERAGE($E$7,K10+$E$7,K10+$E$7,J10+$E$7,J10+$E$7)*H10*I10))</f>
        <v>9.0641234770887458</v>
      </c>
      <c r="Q10" s="20">
        <f ca="1">P10*'B_Surface loads'!$E$12</f>
        <v>12689.772867924245</v>
      </c>
      <c r="R10" s="53">
        <f t="shared" ref="R10:R20" ca="1" si="4">Q10/4</f>
        <v>3172.4432169810611</v>
      </c>
    </row>
    <row r="11" spans="1:18" x14ac:dyDescent="0.3">
      <c r="A11" s="9">
        <v>3</v>
      </c>
      <c r="B11" s="9" t="s">
        <v>13</v>
      </c>
      <c r="C11" s="9" t="s">
        <v>93</v>
      </c>
      <c r="D11" s="9">
        <f>_xlfn.XLOOKUP(A11+200,TCL_Shells!$C$8:$C$32,TCL_Shells!$D$8:$D$32)</f>
        <v>47</v>
      </c>
      <c r="E11" s="9" cm="1">
        <f t="array" ref="E11">_xlfn.XLOOKUP(A11+200,TCL_Shells!$C$8:$C$32,TCL_Shells!$E$8:E$32)</f>
        <v>48</v>
      </c>
      <c r="F11" s="9" cm="1">
        <f t="array" ref="F11">_xlfn.XLOOKUP(A11+200,TCL_Shells!$C$8:$C$32,TCL_Shells!$F$8:F$32)</f>
        <v>32</v>
      </c>
      <c r="G11" s="10" cm="1">
        <f t="array" ref="G11">_xlfn.XLOOKUP(A11+200,TCL_Shells!$C$8:$C$32,TCL_Shells!$G$8:G$32)</f>
        <v>33</v>
      </c>
      <c r="H11" s="9">
        <f ca="1">_xlfn.XLOOKUP(A11,M_Floor!$A$8:$A$34,M_Floor!$O$8:$O$34)</f>
        <v>2.5</v>
      </c>
      <c r="I11" s="9">
        <f ca="1">_xlfn.XLOOKUP(A11,M_Floor!$A$8:$A$34,M_Floor!$P$8:$P$34)</f>
        <v>5.6199999999999992</v>
      </c>
      <c r="J11" s="9">
        <v>0</v>
      </c>
      <c r="K11" s="10">
        <f>2.7+0.15/2-1.55</f>
        <v>1.2250000000000003</v>
      </c>
      <c r="L11" s="9">
        <v>0.15</v>
      </c>
      <c r="M11" s="20">
        <f t="shared" ca="1" si="0"/>
        <v>8.1771000000000011</v>
      </c>
      <c r="N11" s="20">
        <f t="shared" ca="1" si="1"/>
        <v>6.0691643076537813</v>
      </c>
      <c r="O11" s="20">
        <f t="shared" ca="1" si="2"/>
        <v>2.1079356923462198</v>
      </c>
      <c r="P11" s="20">
        <f t="shared" ca="1" si="3"/>
        <v>5.26983923086555</v>
      </c>
      <c r="Q11" s="20">
        <f ca="1">P11*'B_Surface loads'!$E$12</f>
        <v>7377.7749232117703</v>
      </c>
      <c r="R11" s="53">
        <f t="shared" ca="1" si="4"/>
        <v>1844.4437308029426</v>
      </c>
    </row>
    <row r="12" spans="1:18" x14ac:dyDescent="0.3">
      <c r="A12" s="9">
        <v>4</v>
      </c>
      <c r="B12" s="9" t="s">
        <v>13</v>
      </c>
      <c r="C12" s="9" t="s">
        <v>93</v>
      </c>
      <c r="D12" s="9">
        <f>_xlfn.XLOOKUP(A12+200,TCL_Shells!$C$8:$C$32,TCL_Shells!$D$8:$D$32)</f>
        <v>48</v>
      </c>
      <c r="E12" s="9" cm="1">
        <f t="array" ref="E12">_xlfn.XLOOKUP(A12+200,TCL_Shells!$C$8:$C$32,TCL_Shells!$E$8:E$32)</f>
        <v>74</v>
      </c>
      <c r="F12" s="9" cm="1">
        <f t="array" ref="F12">_xlfn.XLOOKUP(A12+200,TCL_Shells!$C$8:$C$32,TCL_Shells!$F$8:F$32)</f>
        <v>75</v>
      </c>
      <c r="G12" s="10" cm="1">
        <f t="array" ref="G12">_xlfn.XLOOKUP(A12+200,TCL_Shells!$C$8:$C$32,TCL_Shells!$G$8:G$32)</f>
        <v>32</v>
      </c>
      <c r="H12" s="9">
        <f ca="1">_xlfn.XLOOKUP(A12,M_Floor!$A$8:$A$34,M_Floor!$O$8:$O$34)</f>
        <v>5.1699999999999982</v>
      </c>
      <c r="I12" s="9">
        <f ca="1">_xlfn.XLOOKUP(A12,M_Floor!$A$8:$A$34,M_Floor!$P$8:$P$34)</f>
        <v>5.6199999999999992</v>
      </c>
      <c r="J12" s="9">
        <v>0</v>
      </c>
      <c r="K12" s="10">
        <f>2.7+0.15/2-1.55</f>
        <v>1.2250000000000003</v>
      </c>
      <c r="L12" s="9">
        <v>0.15</v>
      </c>
      <c r="M12" s="20">
        <f t="shared" ca="1" si="0"/>
        <v>8.1771000000000011</v>
      </c>
      <c r="N12" s="20">
        <f t="shared" ca="1" si="1"/>
        <v>6.0691643076537813</v>
      </c>
      <c r="O12" s="20">
        <f t="shared" ca="1" si="2"/>
        <v>2.1079356923462198</v>
      </c>
      <c r="P12" s="20">
        <f t="shared" ca="1" si="3"/>
        <v>10.898027529429953</v>
      </c>
      <c r="Q12" s="20">
        <f ca="1">P12*'B_Surface loads'!$E$12</f>
        <v>15257.238541201934</v>
      </c>
      <c r="R12" s="53">
        <f t="shared" ca="1" si="4"/>
        <v>3814.3096353004835</v>
      </c>
    </row>
    <row r="13" spans="1:18" x14ac:dyDescent="0.3">
      <c r="A13" s="9">
        <v>5</v>
      </c>
      <c r="B13" s="9" t="s">
        <v>12</v>
      </c>
      <c r="C13" s="9" t="s">
        <v>93</v>
      </c>
      <c r="D13" s="9">
        <f>_xlfn.XLOOKUP(A13+200,TCL_Shells!$C$8:$C$32,TCL_Shells!$D$8:$D$32)</f>
        <v>62</v>
      </c>
      <c r="E13" s="9" cm="1">
        <f t="array" ref="E13">_xlfn.XLOOKUP(A13+200,TCL_Shells!$C$8:$C$32,TCL_Shells!$E$8:E$32)</f>
        <v>63</v>
      </c>
      <c r="F13" s="9" cm="1">
        <f t="array" ref="F13">_xlfn.XLOOKUP(A13+200,TCL_Shells!$C$8:$C$32,TCL_Shells!$F$8:F$32)</f>
        <v>94</v>
      </c>
      <c r="G13" s="10" cm="1">
        <f t="array" ref="G13">_xlfn.XLOOKUP(A13+200,TCL_Shells!$C$8:$C$32,TCL_Shells!$G$8:G$32)</f>
        <v>41</v>
      </c>
      <c r="H13" s="9">
        <f ca="1">_xlfn.XLOOKUP(A13,M_Floor!$A$8:$A$34,M_Floor!$O$8:$O$34)</f>
        <v>5.18</v>
      </c>
      <c r="I13" s="9">
        <f ca="1">_xlfn.XLOOKUP(A13,M_Floor!$A$8:$A$34,M_Floor!$P$8:$P$34)</f>
        <v>5.73</v>
      </c>
      <c r="J13" s="10">
        <f>2.7+0.15/2-1.55</f>
        <v>1.2250000000000003</v>
      </c>
      <c r="K13" s="10">
        <v>0</v>
      </c>
      <c r="L13" s="9">
        <v>0.15</v>
      </c>
      <c r="M13" s="20">
        <f t="shared" ca="1" si="0"/>
        <v>7.536900000000001</v>
      </c>
      <c r="N13" s="20">
        <f t="shared" ca="1" si="1"/>
        <v>5.5939984187983258</v>
      </c>
      <c r="O13" s="20">
        <f t="shared" ca="1" si="2"/>
        <v>1.9429015812016752</v>
      </c>
      <c r="P13" s="20">
        <f t="shared" ca="1" si="3"/>
        <v>11.1328260602856</v>
      </c>
      <c r="Q13" s="20">
        <f ca="1">P13*'B_Surface loads'!$E$12</f>
        <v>15585.95648439984</v>
      </c>
      <c r="R13" s="53">
        <f t="shared" ca="1" si="4"/>
        <v>3896.4891210999599</v>
      </c>
    </row>
    <row r="14" spans="1:18" x14ac:dyDescent="0.3">
      <c r="A14" s="9">
        <v>8</v>
      </c>
      <c r="B14" s="9" t="s">
        <v>12</v>
      </c>
      <c r="C14" s="9" t="s">
        <v>93</v>
      </c>
      <c r="D14" s="9">
        <f>_xlfn.XLOOKUP(A14+200,TCL_Shells!$C$8:$C$32,TCL_Shells!$D$8:$D$32)</f>
        <v>53</v>
      </c>
      <c r="E14" s="9" cm="1">
        <f t="array" ref="E14">_xlfn.XLOOKUP(A14+200,TCL_Shells!$C$8:$C$32,TCL_Shells!$E$8:E$32)</f>
        <v>22</v>
      </c>
      <c r="F14" s="9" cm="1">
        <f t="array" ref="F14">_xlfn.XLOOKUP(A14+200,TCL_Shells!$C$8:$C$32,TCL_Shells!$F$8:F$32)</f>
        <v>23</v>
      </c>
      <c r="G14" s="10" cm="1">
        <f t="array" ref="G14">_xlfn.XLOOKUP(A14+200,TCL_Shells!$C$8:$C$32,TCL_Shells!$G$8:G$32)</f>
        <v>96</v>
      </c>
      <c r="H14" s="9">
        <f ca="1">_xlfn.XLOOKUP(A14,M_Floor!$A$8:$A$34,M_Floor!$O$8:$O$34)</f>
        <v>5.1699999999999982</v>
      </c>
      <c r="I14" s="9">
        <f ca="1">_xlfn.XLOOKUP(A14,M_Floor!$A$8:$A$34,M_Floor!$P$8:$P$34)</f>
        <v>4.2</v>
      </c>
      <c r="J14" s="10">
        <f>2.7+0.15/2-1.55</f>
        <v>1.2250000000000003</v>
      </c>
      <c r="K14" s="10">
        <v>0</v>
      </c>
      <c r="L14" s="9">
        <v>0.15</v>
      </c>
      <c r="M14" s="20">
        <f t="shared" ca="1" si="0"/>
        <v>7.5223499999999985</v>
      </c>
      <c r="N14" s="20">
        <f t="shared" ca="1" si="1"/>
        <v>5.5831991940516099</v>
      </c>
      <c r="O14" s="20">
        <f t="shared" ca="1" si="2"/>
        <v>1.9391508059483886</v>
      </c>
      <c r="P14" s="20">
        <f t="shared" ca="1" si="3"/>
        <v>8.1444333849832322</v>
      </c>
      <c r="Q14" s="20">
        <f ca="1">P14*'B_Surface loads'!$E$12</f>
        <v>11402.206738976525</v>
      </c>
      <c r="R14" s="53">
        <f t="shared" ca="1" si="4"/>
        <v>2850.5516847441313</v>
      </c>
    </row>
    <row r="15" spans="1:18" x14ac:dyDescent="0.3">
      <c r="A15" s="15">
        <v>9</v>
      </c>
      <c r="B15" s="9" t="s">
        <v>12</v>
      </c>
      <c r="C15" s="9" t="s">
        <v>93</v>
      </c>
      <c r="D15" s="9">
        <f>_xlfn.XLOOKUP(A15+200,TCL_Shells!$C$8:$C$32,TCL_Shells!$D$8:$D$32)</f>
        <v>305</v>
      </c>
      <c r="E15" s="9" cm="1">
        <f t="array" ref="E15">_xlfn.XLOOKUP(A15+200,TCL_Shells!$C$8:$C$32,TCL_Shells!$E$8:E$32)</f>
        <v>306</v>
      </c>
      <c r="F15" s="9" cm="1">
        <f t="array" ref="F15">_xlfn.XLOOKUP(A15+200,TCL_Shells!$C$8:$C$32,TCL_Shells!$F$8:F$32)</f>
        <v>56</v>
      </c>
      <c r="G15" s="10" cm="1">
        <f t="array" ref="G15">_xlfn.XLOOKUP(A15+200,TCL_Shells!$C$8:$C$32,TCL_Shells!$G$8:G$32)</f>
        <v>302</v>
      </c>
      <c r="H15" s="9">
        <f ca="1">_xlfn.XLOOKUP(A15,M_Floor!$A$8:$A$34,M_Floor!$O$8:$O$34)</f>
        <v>2.13</v>
      </c>
      <c r="I15" s="9">
        <f ca="1">_xlfn.XLOOKUP(A15,M_Floor!$A$8:$A$34,M_Floor!$P$8:$P$34)</f>
        <v>2.1</v>
      </c>
      <c r="J15" s="9">
        <v>0.3</v>
      </c>
      <c r="K15" s="10">
        <v>0</v>
      </c>
      <c r="L15" s="9">
        <v>0.15</v>
      </c>
      <c r="M15" s="20">
        <f t="shared" ca="1" si="0"/>
        <v>1.1288999999999998</v>
      </c>
      <c r="N15" s="20">
        <f t="shared" ca="1" si="1"/>
        <v>0.75280413961645409</v>
      </c>
      <c r="O15" s="20">
        <f t="shared" ca="1" si="2"/>
        <v>0.3760958603835457</v>
      </c>
      <c r="P15" s="20">
        <f t="shared" ca="1" si="3"/>
        <v>0.78980130680544602</v>
      </c>
      <c r="Q15" s="20">
        <f ca="1">P15*'B_Surface loads'!$E$12</f>
        <v>1105.7218295276243</v>
      </c>
      <c r="R15" s="53">
        <f t="shared" ca="1" si="4"/>
        <v>276.43045738190608</v>
      </c>
    </row>
    <row r="16" spans="1:18" x14ac:dyDescent="0.3">
      <c r="A16" s="15">
        <v>10</v>
      </c>
      <c r="B16" s="9" t="s">
        <v>12</v>
      </c>
      <c r="C16" s="9" t="s">
        <v>94</v>
      </c>
      <c r="D16" s="9">
        <f>_xlfn.XLOOKUP(A16+200,TCL_Shells!$C$8:$C$32,TCL_Shells!$D$8:$D$32)</f>
        <v>307</v>
      </c>
      <c r="E16" s="9" cm="1">
        <f t="array" ref="E16">_xlfn.XLOOKUP(A16+200,TCL_Shells!$C$8:$C$32,TCL_Shells!$E$8:E$32)</f>
        <v>53</v>
      </c>
      <c r="F16" s="9" cm="1">
        <f t="array" ref="F16">_xlfn.XLOOKUP(A16+200,TCL_Shells!$C$8:$C$32,TCL_Shells!$F$8:F$32)</f>
        <v>304</v>
      </c>
      <c r="G16" s="10" cm="1">
        <f t="array" ref="G16">_xlfn.XLOOKUP(A16+200,TCL_Shells!$C$8:$C$32,TCL_Shells!$G$8:G$32)</f>
        <v>303</v>
      </c>
      <c r="H16" s="9">
        <f ca="1">_xlfn.XLOOKUP(A16,M_Floor!$A$8:$A$34,M_Floor!$O$8:$O$34)</f>
        <v>2.5</v>
      </c>
      <c r="I16" s="9">
        <f ca="1">_xlfn.XLOOKUP(A16,M_Floor!$A$8:$A$34,M_Floor!$P$8:$P$34)</f>
        <v>2.2750000000000004</v>
      </c>
      <c r="J16" s="9">
        <v>0.4</v>
      </c>
      <c r="K16" s="10">
        <v>0.4</v>
      </c>
      <c r="L16" s="9">
        <v>0.15</v>
      </c>
      <c r="M16" s="20">
        <f t="shared" ca="1" si="0"/>
        <v>1.575</v>
      </c>
      <c r="N16" s="20">
        <f t="shared" ca="1" si="1"/>
        <v>1.0799224746714913</v>
      </c>
      <c r="O16" s="20">
        <f t="shared" ca="1" si="2"/>
        <v>0.49507752532850868</v>
      </c>
      <c r="P16" s="20">
        <f t="shared" ca="1" si="3"/>
        <v>1.1263013701223574</v>
      </c>
      <c r="Q16" s="20">
        <f ca="1">P16*'B_Surface loads'!$E$12</f>
        <v>1576.8219181713005</v>
      </c>
      <c r="R16" s="53">
        <f t="shared" ca="1" si="4"/>
        <v>394.20547954282512</v>
      </c>
    </row>
    <row r="17" spans="1:18" x14ac:dyDescent="0.3">
      <c r="A17" s="15">
        <v>11</v>
      </c>
      <c r="B17" s="9" t="s">
        <v>76</v>
      </c>
      <c r="C17" s="9" t="s">
        <v>94</v>
      </c>
      <c r="D17" s="9">
        <f>_xlfn.XLOOKUP(A17+200,TCL_Shells!$C$8:$C$32,TCL_Shells!$D$8:$D$32)</f>
        <v>8</v>
      </c>
      <c r="E17" s="9" cm="1">
        <f t="array" ref="E17">_xlfn.XLOOKUP(A17+200,TCL_Shells!$C$8:$C$32,TCL_Shells!$E$8:E$32)</f>
        <v>308</v>
      </c>
      <c r="F17" s="9" cm="1">
        <f t="array" ref="F17">_xlfn.XLOOKUP(A17+200,TCL_Shells!$C$8:$C$32,TCL_Shells!$F$8:F$32)</f>
        <v>306</v>
      </c>
      <c r="G17" s="10" cm="1">
        <f t="array" ref="G17">_xlfn.XLOOKUP(A17+200,TCL_Shells!$C$8:$C$32,TCL_Shells!$G$8:G$32)</f>
        <v>305</v>
      </c>
      <c r="H17" s="9">
        <f ca="1">_xlfn.XLOOKUP(A17,M_Floor!$A$8:$A$34,M_Floor!$O$8:$O$34)</f>
        <v>2.13</v>
      </c>
      <c r="I17" s="9">
        <f ca="1">_xlfn.XLOOKUP(A17,M_Floor!$A$8:$A$34,M_Floor!$P$8:$P$34)</f>
        <v>1.88</v>
      </c>
      <c r="J17" s="9">
        <v>0.4</v>
      </c>
      <c r="K17" s="16">
        <v>0.4</v>
      </c>
      <c r="L17" s="9">
        <v>0.15</v>
      </c>
      <c r="M17" s="20">
        <f t="shared" si="0"/>
        <v>0</v>
      </c>
      <c r="N17" s="20">
        <f t="shared" si="1"/>
        <v>0</v>
      </c>
      <c r="O17" s="20">
        <f t="shared" si="2"/>
        <v>0</v>
      </c>
      <c r="P17" s="20">
        <f t="shared" ca="1" si="3"/>
        <v>1.6017599999999999</v>
      </c>
      <c r="Q17" s="20">
        <f ca="1">P17*'B_Surface loads'!$E$12</f>
        <v>2242.4639999999999</v>
      </c>
      <c r="R17" s="53">
        <f t="shared" ca="1" si="4"/>
        <v>560.61599999999999</v>
      </c>
    </row>
    <row r="18" spans="1:18" x14ac:dyDescent="0.3">
      <c r="A18" s="15">
        <v>12</v>
      </c>
      <c r="B18" s="9" t="s">
        <v>76</v>
      </c>
      <c r="C18" s="9" t="s">
        <v>94</v>
      </c>
      <c r="D18" s="9">
        <f>_xlfn.XLOOKUP(A18+200,TCL_Shells!$C$8:$C$32,TCL_Shells!$D$8:$D$32)</f>
        <v>308</v>
      </c>
      <c r="E18" s="9" cm="1">
        <f t="array" ref="E18">_xlfn.XLOOKUP(A18+200,TCL_Shells!$C$8:$C$32,TCL_Shells!$E$8:E$32)</f>
        <v>309</v>
      </c>
      <c r="F18" s="9" cm="1">
        <f t="array" ref="F18">_xlfn.XLOOKUP(A18+200,TCL_Shells!$C$8:$C$32,TCL_Shells!$F$8:F$32)</f>
        <v>307</v>
      </c>
      <c r="G18" s="10" cm="1">
        <f t="array" ref="G18">_xlfn.XLOOKUP(A18+200,TCL_Shells!$C$8:$C$32,TCL_Shells!$G$8:G$32)</f>
        <v>306</v>
      </c>
      <c r="H18" s="9">
        <f ca="1">_xlfn.XLOOKUP(A18,M_Floor!$A$8:$A$34,M_Floor!$O$8:$O$34)</f>
        <v>2.1700000000000008</v>
      </c>
      <c r="I18" s="9">
        <f ca="1">_xlfn.XLOOKUP(A18,M_Floor!$A$8:$A$34,M_Floor!$P$8:$P$34)</f>
        <v>1.88</v>
      </c>
      <c r="J18" s="9">
        <v>0.4</v>
      </c>
      <c r="K18" s="16">
        <v>0.4</v>
      </c>
      <c r="L18" s="9">
        <v>0.15</v>
      </c>
      <c r="M18" s="20">
        <f t="shared" si="0"/>
        <v>0</v>
      </c>
      <c r="N18" s="20">
        <f t="shared" si="1"/>
        <v>0</v>
      </c>
      <c r="O18" s="20">
        <f t="shared" si="2"/>
        <v>0</v>
      </c>
      <c r="P18" s="20">
        <f t="shared" ca="1" si="3"/>
        <v>1.6318400000000006</v>
      </c>
      <c r="Q18" s="20">
        <f ca="1">P18*'B_Surface loads'!$E$12</f>
        <v>2284.5760000000009</v>
      </c>
      <c r="R18" s="53">
        <f t="shared" ca="1" si="4"/>
        <v>571.14400000000023</v>
      </c>
    </row>
    <row r="19" spans="1:18" x14ac:dyDescent="0.3">
      <c r="A19" s="9">
        <v>13</v>
      </c>
      <c r="B19" s="9" t="s">
        <v>76</v>
      </c>
      <c r="C19" s="9" t="s">
        <v>94</v>
      </c>
      <c r="D19" s="9">
        <f>_xlfn.XLOOKUP(A19+200,TCL_Shells!$C$8:$C$32,TCL_Shells!$D$8:$D$32)</f>
        <v>309</v>
      </c>
      <c r="E19" s="9" cm="1">
        <f t="array" ref="E19">_xlfn.XLOOKUP(A19+200,TCL_Shells!$C$8:$C$32,TCL_Shells!$E$8:E$32)</f>
        <v>11</v>
      </c>
      <c r="F19" s="9" cm="1">
        <f t="array" ref="F19">_xlfn.XLOOKUP(A19+200,TCL_Shells!$C$8:$C$32,TCL_Shells!$F$8:F$32)</f>
        <v>101</v>
      </c>
      <c r="G19" s="10" cm="1">
        <f t="array" ref="G19">_xlfn.XLOOKUP(A19+200,TCL_Shells!$C$8:$C$32,TCL_Shells!$G$8:G$32)</f>
        <v>307</v>
      </c>
      <c r="H19" s="9">
        <f ca="1">_xlfn.XLOOKUP(A19,M_Floor!$A$8:$A$34,M_Floor!$O$8:$O$34)</f>
        <v>2.5</v>
      </c>
      <c r="I19" s="9">
        <f ca="1">_xlfn.XLOOKUP(A19,M_Floor!$A$8:$A$34,M_Floor!$P$8:$P$34)</f>
        <v>1.7050000000000001</v>
      </c>
      <c r="J19" s="9">
        <v>0.4</v>
      </c>
      <c r="K19" s="16">
        <v>0.4</v>
      </c>
      <c r="L19" s="9">
        <v>0.15</v>
      </c>
      <c r="M19" s="20">
        <f t="shared" si="0"/>
        <v>0</v>
      </c>
      <c r="N19" s="20">
        <f t="shared" si="1"/>
        <v>0</v>
      </c>
      <c r="O19" s="20">
        <f t="shared" si="2"/>
        <v>0</v>
      </c>
      <c r="P19" s="20">
        <f t="shared" ca="1" si="3"/>
        <v>1.7050000000000001</v>
      </c>
      <c r="Q19" s="20">
        <f ca="1">P19*'B_Surface loads'!$E$12</f>
        <v>2387</v>
      </c>
      <c r="R19" s="53">
        <f t="shared" ca="1" si="4"/>
        <v>596.75</v>
      </c>
    </row>
    <row r="20" spans="1:18" x14ac:dyDescent="0.3">
      <c r="A20" s="9">
        <v>14</v>
      </c>
      <c r="B20" s="9" t="s">
        <v>13</v>
      </c>
      <c r="C20" s="9" t="s">
        <v>93</v>
      </c>
      <c r="D20" s="9">
        <f>_xlfn.XLOOKUP(A20+200,TCL_Shells!$C$8:$C$32,TCL_Shells!$D$8:$D$32)</f>
        <v>11</v>
      </c>
      <c r="E20" s="9" cm="1">
        <f t="array" ref="E20">_xlfn.XLOOKUP(A20+200,TCL_Shells!$C$8:$C$32,TCL_Shells!$E$8:E$32)</f>
        <v>12</v>
      </c>
      <c r="F20" s="9" cm="1">
        <f t="array" ref="F20">_xlfn.XLOOKUP(A20+200,TCL_Shells!$C$8:$C$32,TCL_Shells!$F$8:F$32)</f>
        <v>73</v>
      </c>
      <c r="G20" s="10" cm="1">
        <f t="array" ref="G20">_xlfn.XLOOKUP(A20+200,TCL_Shells!$C$8:$C$32,TCL_Shells!$G$8:G$32)</f>
        <v>101</v>
      </c>
      <c r="H20" s="9">
        <f ca="1">_xlfn.XLOOKUP(A20,M_Floor!$A$8:$A$34,M_Floor!$O$8:$O$34)</f>
        <v>5.1699999999999982</v>
      </c>
      <c r="I20" s="9">
        <f>_xlfn.XLOOKUP(A20,M_Floor!$A$8:$A$34,M_Floor!$P$8:$P$34)</f>
        <v>1.53</v>
      </c>
      <c r="J20" s="9">
        <v>0</v>
      </c>
      <c r="K20" s="10">
        <v>0.1</v>
      </c>
      <c r="L20" s="9">
        <v>0.15</v>
      </c>
      <c r="M20" s="20">
        <f>IF(B20="Y",(K20+L20+$E$7)*I20,IF(B20="X",(J20+L20+$E$7)*H20,0))</f>
        <v>0.50490000000000002</v>
      </c>
      <c r="N20" s="20">
        <f>IF(B20="Y",I20/2*(K20+L20)*PI()/2,IF(B20="X",H20/2*(J20+L20)*PI()/2,0))</f>
        <v>0.30041479749952399</v>
      </c>
      <c r="O20" s="20">
        <f t="shared" si="2"/>
        <v>0.20448520250047603</v>
      </c>
      <c r="P20" s="20">
        <f t="shared" ca="1" si="3"/>
        <v>1.0571884969274608</v>
      </c>
      <c r="Q20" s="20">
        <f ca="1">P20*'B_Surface loads'!$E$12</f>
        <v>1480.0638956984451</v>
      </c>
      <c r="R20" s="53">
        <f t="shared" ca="1" si="4"/>
        <v>370.01597392461127</v>
      </c>
    </row>
    <row r="21" spans="1:18" x14ac:dyDescent="0.3">
      <c r="H21" s="6"/>
    </row>
    <row r="22" spans="1:18" x14ac:dyDescent="0.3">
      <c r="F22" s="7"/>
      <c r="H22" s="6"/>
    </row>
    <row r="23" spans="1:18" x14ac:dyDescent="0.3">
      <c r="F23" s="7"/>
      <c r="H23" s="6"/>
    </row>
    <row r="24" spans="1:18" x14ac:dyDescent="0.3">
      <c r="F24" s="7"/>
      <c r="H24" s="6"/>
    </row>
    <row r="25" spans="1:18" x14ac:dyDescent="0.3">
      <c r="F25" s="7"/>
      <c r="H25" s="6"/>
    </row>
    <row r="26" spans="1:18" x14ac:dyDescent="0.3">
      <c r="F26" s="7"/>
      <c r="H26" s="6"/>
    </row>
    <row r="27" spans="1:18" x14ac:dyDescent="0.3">
      <c r="F27" s="7"/>
      <c r="H27" s="6"/>
    </row>
    <row r="28" spans="1:18" x14ac:dyDescent="0.3">
      <c r="F28" s="7"/>
      <c r="H28" s="6"/>
    </row>
    <row r="29" spans="1:18" x14ac:dyDescent="0.3">
      <c r="F29" s="7"/>
      <c r="H29" s="6"/>
    </row>
    <row r="30" spans="1:18" x14ac:dyDescent="0.3">
      <c r="F30" s="7"/>
      <c r="H30" s="6"/>
    </row>
    <row r="31" spans="1:18" x14ac:dyDescent="0.3">
      <c r="F31" s="7"/>
      <c r="H31" s="6"/>
    </row>
    <row r="32" spans="1:18" x14ac:dyDescent="0.3">
      <c r="F32" s="7"/>
      <c r="H32" s="6"/>
    </row>
    <row r="33" spans="6:8" x14ac:dyDescent="0.3">
      <c r="F33" s="7"/>
      <c r="H33" s="6"/>
    </row>
    <row r="34" spans="6:8" x14ac:dyDescent="0.3">
      <c r="F34" s="7"/>
      <c r="H34" s="6"/>
    </row>
    <row r="35" spans="6:8" x14ac:dyDescent="0.3">
      <c r="F35" s="7"/>
      <c r="H35" s="6"/>
    </row>
    <row r="36" spans="6:8" x14ac:dyDescent="0.3">
      <c r="F36" s="7"/>
      <c r="H36" s="6"/>
    </row>
  </sheetData>
  <mergeCells count="1">
    <mergeCell ref="A7:C7"/>
  </mergeCells>
  <pageMargins left="0.7" right="0.7" top="0.78740157499999996" bottom="0.78740157499999996" header="0.3" footer="0.3"/>
  <pageSetup paperSize="9" scale="70" orientation="landscape" r:id="rId1"/>
  <headerFooter>
    <oddHeader>&amp;LMaster Thesis 2023/2024&amp;CSt. Lawrence Parish House,
Petrinja, Croatia&amp;R&amp;G</oddHeader>
    <oddFooter>&amp;L&amp;A&amp;CModel: Initial state&amp;R&amp;P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F20E-4F0B-45F4-8D8B-15F3A1FD1005}">
  <sheetPr>
    <tabColor theme="6"/>
  </sheetPr>
  <dimension ref="A1:L59"/>
  <sheetViews>
    <sheetView view="pageLayout" zoomScaleNormal="85" workbookViewId="0">
      <selection activeCell="I4" sqref="I4"/>
    </sheetView>
  </sheetViews>
  <sheetFormatPr baseColWidth="10" defaultColWidth="10.5" defaultRowHeight="14" x14ac:dyDescent="0.3"/>
  <cols>
    <col min="1" max="1" width="10.4140625" style="6" customWidth="1"/>
    <col min="2" max="2" width="12.9140625" style="6" customWidth="1"/>
    <col min="3" max="3" width="12.1640625" style="6" customWidth="1"/>
    <col min="4" max="4" width="6.5" style="6" customWidth="1"/>
    <col min="5" max="5" width="7.4140625" style="6" customWidth="1"/>
    <col min="6" max="6" width="6.75" style="6" customWidth="1"/>
    <col min="7" max="7" width="7.1640625" style="7" customWidth="1"/>
    <col min="8" max="11" width="10.5" style="6" customWidth="1"/>
    <col min="12" max="12" width="11.75" style="6" customWidth="1"/>
    <col min="13" max="16384" width="10.5" style="6"/>
  </cols>
  <sheetData>
    <row r="1" spans="1:12" ht="17" thickBot="1" x14ac:dyDescent="0.4">
      <c r="A1" s="102" t="s">
        <v>425</v>
      </c>
      <c r="B1" s="103"/>
      <c r="C1" s="104"/>
      <c r="D1" s="104"/>
      <c r="E1" s="103"/>
      <c r="F1" s="105"/>
      <c r="G1" s="105"/>
      <c r="H1" s="105"/>
      <c r="I1" s="105"/>
      <c r="J1" s="105"/>
      <c r="K1" s="105"/>
      <c r="L1" s="105"/>
    </row>
    <row r="2" spans="1:12" x14ac:dyDescent="0.3">
      <c r="A2" s="61" t="s">
        <v>378</v>
      </c>
      <c r="C2" t="s">
        <v>379</v>
      </c>
      <c r="D2"/>
      <c r="E2"/>
      <c r="F2"/>
    </row>
    <row r="3" spans="1:12" x14ac:dyDescent="0.3">
      <c r="A3" s="61" t="s">
        <v>375</v>
      </c>
      <c r="C3" s="57">
        <f ca="1">TODAY()</f>
        <v>45304</v>
      </c>
      <c r="D3"/>
      <c r="E3"/>
      <c r="F3"/>
    </row>
    <row r="4" spans="1:12" x14ac:dyDescent="0.3">
      <c r="A4" s="61" t="s">
        <v>398</v>
      </c>
      <c r="C4" t="s">
        <v>426</v>
      </c>
      <c r="D4"/>
      <c r="E4"/>
      <c r="F4"/>
    </row>
    <row r="5" spans="1:12" x14ac:dyDescent="0.3">
      <c r="A5" s="61" t="s">
        <v>377</v>
      </c>
      <c r="C5" t="s">
        <v>424</v>
      </c>
      <c r="D5"/>
      <c r="E5"/>
      <c r="F5"/>
    </row>
    <row r="7" spans="1:12" customFormat="1" ht="14.5" thickBot="1" x14ac:dyDescent="0.35">
      <c r="A7" s="114" t="s">
        <v>65</v>
      </c>
      <c r="B7" s="114" t="s">
        <v>66</v>
      </c>
      <c r="C7" s="114"/>
      <c r="D7" s="114" t="s">
        <v>22</v>
      </c>
      <c r="E7" s="114" t="s">
        <v>23</v>
      </c>
      <c r="F7" s="114" t="s">
        <v>67</v>
      </c>
      <c r="G7" s="114" t="s">
        <v>68</v>
      </c>
      <c r="H7" s="114" t="s">
        <v>69</v>
      </c>
      <c r="I7" s="114" t="s">
        <v>70</v>
      </c>
      <c r="J7" s="114" t="s">
        <v>71</v>
      </c>
      <c r="K7" s="114" t="s">
        <v>72</v>
      </c>
      <c r="L7" s="114" t="s">
        <v>73</v>
      </c>
    </row>
    <row r="8" spans="1:12" x14ac:dyDescent="0.3">
      <c r="A8" s="9">
        <v>15</v>
      </c>
      <c r="B8" s="9" t="s">
        <v>74</v>
      </c>
      <c r="C8" s="9" t="s">
        <v>13</v>
      </c>
      <c r="D8" s="9">
        <f>_xlfn.XLOOKUP(A8+200,TCL_Shells!$C$8:$C$32,TCL_Shells!$D$8:$D$32)</f>
        <v>88</v>
      </c>
      <c r="E8" s="9" cm="1">
        <f t="array" ref="E8">_xlfn.XLOOKUP(A8+200,TCL_Shells!$C$8:$C$32,TCL_Shells!$E$8:E$32)</f>
        <v>43</v>
      </c>
      <c r="F8" s="9" cm="1">
        <f t="array" ref="F8">_xlfn.XLOOKUP(A8+200,TCL_Shells!$C$8:$C$32,TCL_Shells!$F$8:F$32)</f>
        <v>30</v>
      </c>
      <c r="G8" s="10" cm="1">
        <f t="array" ref="G8">_xlfn.XLOOKUP(A8+200,TCL_Shells!$C$8:$C$32,TCL_Shells!$G$8:G$32)</f>
        <v>31</v>
      </c>
      <c r="H8" s="9">
        <f ca="1">_xlfn.XLOOKUP(A8,M_Floor!$A$8:$A$34,M_Floor!$O$8:$O$34)</f>
        <v>5.18</v>
      </c>
      <c r="I8" s="9">
        <f ca="1">_xlfn.XLOOKUP(A8,M_Floor!$A$8:$A$34,M_Floor!$P$8:$P$34)</f>
        <v>5.6199999999999992</v>
      </c>
      <c r="J8" s="41">
        <f>'B_Material properties'!$E$20</f>
        <v>30000000000</v>
      </c>
      <c r="K8" s="41">
        <f>'B_Material properties'!$E$20</f>
        <v>30000000000</v>
      </c>
      <c r="L8" s="41">
        <f>'B_Material properties'!$E$21</f>
        <v>12500000000</v>
      </c>
    </row>
    <row r="9" spans="1:12" x14ac:dyDescent="0.3">
      <c r="A9" s="9">
        <v>16</v>
      </c>
      <c r="B9" s="9" t="s">
        <v>74</v>
      </c>
      <c r="C9" s="9" t="s">
        <v>13</v>
      </c>
      <c r="D9" s="9">
        <f>_xlfn.XLOOKUP(A9+200,TCL_Shells!$C$8:$C$32,TCL_Shells!$D$8:$D$32)</f>
        <v>43</v>
      </c>
      <c r="E9" s="9" cm="1">
        <f t="array" ref="E9">_xlfn.XLOOKUP(A9+200,TCL_Shells!$C$8:$C$32,TCL_Shells!$E$8:E$32)</f>
        <v>44</v>
      </c>
      <c r="F9" s="9" cm="1">
        <f t="array" ref="F9">_xlfn.XLOOKUP(A9+200,TCL_Shells!$C$8:$C$32,TCL_Shells!$F$8:F$32)</f>
        <v>29</v>
      </c>
      <c r="G9" s="10" cm="1">
        <f t="array" ref="G9">_xlfn.XLOOKUP(A9+200,TCL_Shells!$C$8:$C$32,TCL_Shells!$G$8:G$32)</f>
        <v>30</v>
      </c>
      <c r="H9" s="9">
        <f ca="1">_xlfn.XLOOKUP(A9,M_Floor!$A$8:$A$34,M_Floor!$O$8:$O$34)</f>
        <v>4.3000000000000007</v>
      </c>
      <c r="I9" s="9">
        <f ca="1">_xlfn.XLOOKUP(A9,M_Floor!$A$8:$A$34,M_Floor!$P$8:$P$34)</f>
        <v>5.6199999999999992</v>
      </c>
      <c r="J9" s="40">
        <f>'B_Material properties'!$E$20</f>
        <v>30000000000</v>
      </c>
      <c r="K9" s="40">
        <f>'B_Material properties'!$E$20</f>
        <v>30000000000</v>
      </c>
      <c r="L9" s="40">
        <f>'B_Material properties'!$E$21</f>
        <v>12500000000</v>
      </c>
    </row>
    <row r="10" spans="1:12" x14ac:dyDescent="0.3">
      <c r="A10" s="9">
        <v>17</v>
      </c>
      <c r="B10" s="9" t="s">
        <v>74</v>
      </c>
      <c r="C10" s="9" t="s">
        <v>13</v>
      </c>
      <c r="D10" s="9">
        <f>_xlfn.XLOOKUP(A10+200,TCL_Shells!$C$8:$C$32,TCL_Shells!$D$8:$D$32)</f>
        <v>44</v>
      </c>
      <c r="E10" s="9" cm="1">
        <f t="array" ref="E10">_xlfn.XLOOKUP(A10+200,TCL_Shells!$C$8:$C$32,TCL_Shells!$E$8:E$32)</f>
        <v>45</v>
      </c>
      <c r="F10" s="9" cm="1">
        <f t="array" ref="F10">_xlfn.XLOOKUP(A10+200,TCL_Shells!$C$8:$C$32,TCL_Shells!$F$8:F$32)</f>
        <v>28</v>
      </c>
      <c r="G10" s="10" cm="1">
        <f t="array" ref="G10">_xlfn.XLOOKUP(A10+200,TCL_Shells!$C$8:$C$32,TCL_Shells!$G$8:G$32)</f>
        <v>29</v>
      </c>
      <c r="H10" s="9">
        <f>_xlfn.XLOOKUP(A10,M_Floor!$A$8:$A$34,M_Floor!$O$8:$O$34)</f>
        <v>2.5</v>
      </c>
      <c r="I10" s="9">
        <f ca="1">_xlfn.XLOOKUP(A10,M_Floor!$A$8:$A$34,M_Floor!$P$8:$P$34)</f>
        <v>5.6199999999999992</v>
      </c>
      <c r="J10" s="40">
        <f>'B_Material properties'!$E$20</f>
        <v>30000000000</v>
      </c>
      <c r="K10" s="40">
        <f>'B_Material properties'!$E$20</f>
        <v>30000000000</v>
      </c>
      <c r="L10" s="40">
        <f>'B_Material properties'!$E$21</f>
        <v>12500000000</v>
      </c>
    </row>
    <row r="11" spans="1:12" x14ac:dyDescent="0.3">
      <c r="A11" s="9">
        <v>18</v>
      </c>
      <c r="B11" s="9" t="s">
        <v>74</v>
      </c>
      <c r="C11" s="9" t="s">
        <v>13</v>
      </c>
      <c r="D11" s="9">
        <f>_xlfn.XLOOKUP(A11+200,TCL_Shells!$C$8:$C$32,TCL_Shells!$D$8:$D$32)</f>
        <v>45</v>
      </c>
      <c r="E11" s="9" cm="1">
        <f t="array" ref="E11">_xlfn.XLOOKUP(A11+200,TCL_Shells!$C$8:$C$32,TCL_Shells!$E$8:E$32)</f>
        <v>71</v>
      </c>
      <c r="F11" s="9" cm="1">
        <f t="array" ref="F11">_xlfn.XLOOKUP(A11+200,TCL_Shells!$C$8:$C$32,TCL_Shells!$F$8:F$32)</f>
        <v>72</v>
      </c>
      <c r="G11" s="10" cm="1">
        <f t="array" ref="G11">_xlfn.XLOOKUP(A11+200,TCL_Shells!$C$8:$C$32,TCL_Shells!$G$8:G$32)</f>
        <v>28</v>
      </c>
      <c r="H11" s="9">
        <f ca="1">_xlfn.XLOOKUP(A11,M_Floor!$A$8:$A$34,M_Floor!$O$8:$O$34)</f>
        <v>5.1699999999999982</v>
      </c>
      <c r="I11" s="9">
        <f ca="1">_xlfn.XLOOKUP(A11,M_Floor!$A$8:$A$34,M_Floor!$P$8:$P$34)</f>
        <v>5.6199999999999992</v>
      </c>
      <c r="J11" s="40">
        <f>'B_Material properties'!$E$20</f>
        <v>30000000000</v>
      </c>
      <c r="K11" s="40">
        <f>'B_Material properties'!$E$20</f>
        <v>30000000000</v>
      </c>
      <c r="L11" s="40">
        <f>'B_Material properties'!$E$21</f>
        <v>12500000000</v>
      </c>
    </row>
    <row r="12" spans="1:12" x14ac:dyDescent="0.3">
      <c r="A12" s="9">
        <v>19</v>
      </c>
      <c r="B12" s="9" t="s">
        <v>75</v>
      </c>
      <c r="C12" s="9" t="s">
        <v>12</v>
      </c>
      <c r="D12" s="9">
        <f>_xlfn.XLOOKUP(A12+200,TCL_Shells!$C$8:$C$32,TCL_Shells!$D$8:$D$32)</f>
        <v>1</v>
      </c>
      <c r="E12" s="9" cm="1">
        <f t="array" ref="E12">_xlfn.XLOOKUP(A12+200,TCL_Shells!$C$8:$C$32,TCL_Shells!$E$8:E$32)</f>
        <v>2</v>
      </c>
      <c r="F12" s="9" cm="1">
        <f t="array" ref="F12">_xlfn.XLOOKUP(A12+200,TCL_Shells!$C$8:$C$32,TCL_Shells!$F$8:F$32)</f>
        <v>43</v>
      </c>
      <c r="G12" s="10" cm="1">
        <f t="array" ref="G12">_xlfn.XLOOKUP(A12+200,TCL_Shells!$C$8:$C$32,TCL_Shells!$G$8:G$32)</f>
        <v>88</v>
      </c>
      <c r="H12" s="9">
        <f ca="1">_xlfn.XLOOKUP(A12,M_Floor!$A$8:$A$34,M_Floor!$O$8:$O$34)</f>
        <v>5.18</v>
      </c>
      <c r="I12" s="9">
        <f ca="1">_xlfn.XLOOKUP(A12,M_Floor!$A$8:$A$34,M_Floor!$P$8:$P$34)</f>
        <v>5.73</v>
      </c>
      <c r="J12" s="40">
        <f>'B_Material properties'!$E$20</f>
        <v>30000000000</v>
      </c>
      <c r="K12" s="40">
        <f>'B_Material properties'!$E$20</f>
        <v>30000000000</v>
      </c>
      <c r="L12" s="40">
        <f>'B_Material properties'!$E$21</f>
        <v>12500000000</v>
      </c>
    </row>
    <row r="13" spans="1:12" x14ac:dyDescent="0.3">
      <c r="A13" s="9">
        <v>20</v>
      </c>
      <c r="B13" s="9" t="s">
        <v>74</v>
      </c>
      <c r="C13" s="9" t="s">
        <v>76</v>
      </c>
      <c r="D13" s="9">
        <f>_xlfn.XLOOKUP(A13+200,TCL_Shells!$C$8:$C$32,TCL_Shells!$D$8:$D$32)</f>
        <v>55</v>
      </c>
      <c r="E13" s="9" cm="1">
        <f t="array" ref="E13">_xlfn.XLOOKUP(A13+200,TCL_Shells!$C$8:$C$32,TCL_Shells!$E$8:E$32)</f>
        <v>311</v>
      </c>
      <c r="F13" s="9" cm="1">
        <f t="array" ref="F13">_xlfn.XLOOKUP(A13+200,TCL_Shells!$C$8:$C$32,TCL_Shells!$F$8:F$32)</f>
        <v>44</v>
      </c>
      <c r="G13" s="10" cm="1">
        <f t="array" ref="G13">_xlfn.XLOOKUP(A13+200,TCL_Shells!$C$8:$C$32,TCL_Shells!$G$8:G$32)</f>
        <v>310</v>
      </c>
      <c r="H13" s="9">
        <f ca="1">_xlfn.XLOOKUP(A13,M_Floor!$A$8:$A$34,M_Floor!$O$8:$O$34)</f>
        <v>2.1700000000000008</v>
      </c>
      <c r="I13" s="9">
        <f ca="1">_xlfn.XLOOKUP(A13,M_Floor!$A$8:$A$34,M_Floor!$P$8:$P$34)</f>
        <v>1.7500000000000004</v>
      </c>
      <c r="J13" s="14">
        <f ca="1">'P_Vaults above GF'!AF22</f>
        <v>958326985.64441144</v>
      </c>
      <c r="K13" s="14">
        <f ca="1">'P_Vaults above GF'!AG22</f>
        <v>975017078.19132566</v>
      </c>
      <c r="L13" s="14">
        <f ca="1">'P_Vaults above GF'!AH22</f>
        <v>408346783.28996181</v>
      </c>
    </row>
    <row r="14" spans="1:12" x14ac:dyDescent="0.3">
      <c r="A14" s="9">
        <v>21</v>
      </c>
      <c r="B14" s="9" t="s">
        <v>74</v>
      </c>
      <c r="C14" s="9" t="s">
        <v>12</v>
      </c>
      <c r="D14" s="9">
        <f>_xlfn.XLOOKUP(A14+200,TCL_Shells!$C$8:$C$32,TCL_Shells!$D$8:$D$32)</f>
        <v>315</v>
      </c>
      <c r="E14" s="9" cm="1">
        <f t="array" ref="E14">_xlfn.XLOOKUP(A14+200,TCL_Shells!$C$8:$C$32,TCL_Shells!$E$8:E$32)</f>
        <v>5</v>
      </c>
      <c r="F14" s="9" cm="1">
        <f t="array" ref="F14">_xlfn.XLOOKUP(A14+200,TCL_Shells!$C$8:$C$32,TCL_Shells!$F$8:F$32)</f>
        <v>45</v>
      </c>
      <c r="G14" s="10" cm="1">
        <f t="array" ref="G14">_xlfn.XLOOKUP(A14+200,TCL_Shells!$C$8:$C$32,TCL_Shells!$G$8:G$32)</f>
        <v>44</v>
      </c>
      <c r="H14" s="9">
        <f ca="1">_xlfn.XLOOKUP(A14,M_Floor!$A$8:$A$34,M_Floor!$O$8:$O$34)</f>
        <v>2.5</v>
      </c>
      <c r="I14" s="9">
        <f ca="1">_xlfn.XLOOKUP(A14,M_Floor!$A$8:$A$34,M_Floor!$P$8:$P$34)</f>
        <v>5.73</v>
      </c>
      <c r="J14" s="40">
        <f>'B_Material properties'!$E$20</f>
        <v>30000000000</v>
      </c>
      <c r="K14" s="40">
        <f>'B_Material properties'!$E$20</f>
        <v>30000000000</v>
      </c>
      <c r="L14" s="40">
        <f>'B_Material properties'!$E$21</f>
        <v>12500000000</v>
      </c>
    </row>
    <row r="15" spans="1:12" x14ac:dyDescent="0.3">
      <c r="A15" s="9">
        <v>22</v>
      </c>
      <c r="B15" s="9" t="s">
        <v>75</v>
      </c>
      <c r="C15" s="9" t="s">
        <v>12</v>
      </c>
      <c r="D15" s="9">
        <f>_xlfn.XLOOKUP(A15+200,TCL_Shells!$C$8:$C$32,TCL_Shells!$D$8:$D$32)</f>
        <v>100</v>
      </c>
      <c r="E15" s="9" cm="1">
        <f t="array" ref="E15">_xlfn.XLOOKUP(A15+200,TCL_Shells!$C$8:$C$32,TCL_Shells!$E$8:E$32)</f>
        <v>70</v>
      </c>
      <c r="F15" s="9" cm="1">
        <f t="array" ref="F15">_xlfn.XLOOKUP(A15+200,TCL_Shells!$C$8:$C$32,TCL_Shells!$F$8:F$32)</f>
        <v>71</v>
      </c>
      <c r="G15" s="10" cm="1">
        <f t="array" ref="G15">_xlfn.XLOOKUP(A15+200,TCL_Shells!$C$8:$C$32,TCL_Shells!$G$8:G$32)</f>
        <v>45</v>
      </c>
      <c r="H15" s="9">
        <f ca="1">_xlfn.XLOOKUP(A15,M_Floor!$A$8:$A$34,M_Floor!$O$8:$O$34)</f>
        <v>5.1699999999999982</v>
      </c>
      <c r="I15" s="9">
        <f ca="1">_xlfn.XLOOKUP(A15,M_Floor!$A$8:$A$34,M_Floor!$P$8:$P$34)</f>
        <v>4.2</v>
      </c>
      <c r="J15" s="40">
        <f>'B_Material properties'!$E$20</f>
        <v>30000000000</v>
      </c>
      <c r="K15" s="40">
        <f>'B_Material properties'!$E$20</f>
        <v>30000000000</v>
      </c>
      <c r="L15" s="40">
        <f>'B_Material properties'!$E$21</f>
        <v>12500000000</v>
      </c>
    </row>
    <row r="16" spans="1:12" x14ac:dyDescent="0.3">
      <c r="A16" s="9">
        <v>23</v>
      </c>
      <c r="B16" s="9" t="s">
        <v>75</v>
      </c>
      <c r="C16" s="9" t="s">
        <v>12</v>
      </c>
      <c r="D16" s="9">
        <f>_xlfn.XLOOKUP(A16+200,TCL_Shells!$C$8:$C$32,TCL_Shells!$D$8:$D$32)</f>
        <v>313</v>
      </c>
      <c r="E16" s="9" cm="1">
        <f t="array" ref="E16">_xlfn.XLOOKUP(A16+200,TCL_Shells!$C$8:$C$32,TCL_Shells!$E$8:E$32)</f>
        <v>314</v>
      </c>
      <c r="F16" s="9" cm="1">
        <f t="array" ref="F16">_xlfn.XLOOKUP(A16+200,TCL_Shells!$C$8:$C$32,TCL_Shells!$F$8:F$32)</f>
        <v>311</v>
      </c>
      <c r="G16" s="10" cm="1">
        <f t="array" ref="G16">_xlfn.XLOOKUP(A16+200,TCL_Shells!$C$8:$C$32,TCL_Shells!$G$8:G$32)</f>
        <v>55</v>
      </c>
      <c r="H16" s="9">
        <f ca="1">_xlfn.XLOOKUP(A16,M_Floor!$A$8:$A$34,M_Floor!$O$8:$O$34)</f>
        <v>2.1700000000000008</v>
      </c>
      <c r="I16" s="9">
        <f ca="1">_xlfn.XLOOKUP(A16,M_Floor!$A$8:$A$34,M_Floor!$P$8:$P$34)</f>
        <v>2.1</v>
      </c>
      <c r="J16" s="14">
        <f ca="1">'P_Vaults above GF'!AF23</f>
        <v>958326985.64441144</v>
      </c>
      <c r="K16" s="14">
        <f ca="1">'P_Vaults above GF'!AG23</f>
        <v>960258848.63977301</v>
      </c>
      <c r="L16" s="14">
        <f ca="1">'P_Vaults above GF'!AH23</f>
        <v>408346783.28996181</v>
      </c>
    </row>
    <row r="17" spans="1:12" x14ac:dyDescent="0.3">
      <c r="A17" s="9">
        <v>24</v>
      </c>
      <c r="B17" s="9" t="s">
        <v>75</v>
      </c>
      <c r="C17" s="9" t="s">
        <v>13</v>
      </c>
      <c r="D17" s="9">
        <f>_xlfn.XLOOKUP(A17+200,TCL_Shells!$C$8:$C$32,TCL_Shells!$D$8:$D$32)</f>
        <v>2</v>
      </c>
      <c r="E17" s="9" cm="1">
        <f t="array" ref="E17">_xlfn.XLOOKUP(A17+200,TCL_Shells!$C$8:$C$32,TCL_Shells!$E$8:E$32)</f>
        <v>315</v>
      </c>
      <c r="F17" s="9" cm="1">
        <f t="array" ref="F17">_xlfn.XLOOKUP(A17+200,TCL_Shells!$C$8:$C$32,TCL_Shells!$F$8:F$32)</f>
        <v>314</v>
      </c>
      <c r="G17" s="10" cm="1">
        <f t="array" ref="G17">_xlfn.XLOOKUP(A17+200,TCL_Shells!$C$8:$C$32,TCL_Shells!$G$8:G$32)</f>
        <v>312</v>
      </c>
      <c r="H17" s="9">
        <f ca="1">_xlfn.XLOOKUP(A17,M_Floor!$A$8:$A$34,M_Floor!$O$8:$O$34)</f>
        <v>4.3000000000000007</v>
      </c>
      <c r="I17" s="9">
        <f>_xlfn.XLOOKUP(A17,M_Floor!$A$8:$A$34,M_Floor!$P$8:$P$34)</f>
        <v>1.88</v>
      </c>
      <c r="J17" s="40">
        <f>'B_Material properties'!$E$20</f>
        <v>30000000000</v>
      </c>
      <c r="K17" s="40">
        <f>'B_Material properties'!$E$20</f>
        <v>30000000000</v>
      </c>
      <c r="L17" s="40">
        <f>'B_Material properties'!$E$21</f>
        <v>12500000000</v>
      </c>
    </row>
    <row r="18" spans="1:12" x14ac:dyDescent="0.3">
      <c r="A18" s="9">
        <v>25</v>
      </c>
      <c r="B18" s="9" t="s">
        <v>75</v>
      </c>
      <c r="C18" s="9" t="s">
        <v>13</v>
      </c>
      <c r="D18" s="9">
        <f>_xlfn.XLOOKUP(A18+200,TCL_Shells!$C$8:$C$32,TCL_Shells!$D$8:$D$32)</f>
        <v>5</v>
      </c>
      <c r="E18" s="9" cm="1">
        <f t="array" ref="E18">_xlfn.XLOOKUP(A18+200,TCL_Shells!$C$8:$C$32,TCL_Shells!$E$8:E$32)</f>
        <v>6</v>
      </c>
      <c r="F18" s="9" cm="1">
        <f t="array" ref="F18">_xlfn.XLOOKUP(A18+200,TCL_Shells!$C$8:$C$32,TCL_Shells!$F$8:F$32)</f>
        <v>70</v>
      </c>
      <c r="G18" s="10" cm="1">
        <f t="array" ref="G18">_xlfn.XLOOKUP(A18+200,TCL_Shells!$C$8:$C$32,TCL_Shells!$G$8:G$32)</f>
        <v>100</v>
      </c>
      <c r="H18" s="9">
        <f ca="1">_xlfn.XLOOKUP(A18,M_Floor!$A$8:$A$34,M_Floor!$O$8:$O$34)</f>
        <v>5.1699999999999982</v>
      </c>
      <c r="I18" s="9">
        <f ca="1">_xlfn.XLOOKUP(A18,M_Floor!$A$8:$A$34,M_Floor!$P$8:$P$34)</f>
        <v>1.53</v>
      </c>
      <c r="J18" s="40">
        <f>'B_Material properties'!$E$20</f>
        <v>30000000000</v>
      </c>
      <c r="K18" s="40">
        <f>'B_Material properties'!$E$20</f>
        <v>30000000000</v>
      </c>
      <c r="L18" s="40">
        <f>'B_Material properties'!$E$21</f>
        <v>12500000000</v>
      </c>
    </row>
    <row r="19" spans="1:12" x14ac:dyDescent="0.3">
      <c r="G19" s="6"/>
    </row>
    <row r="20" spans="1:12" x14ac:dyDescent="0.3">
      <c r="G20" s="6"/>
      <c r="I20" s="11"/>
    </row>
    <row r="21" spans="1:12" x14ac:dyDescent="0.3">
      <c r="G21" s="6"/>
      <c r="K21" s="1"/>
    </row>
    <row r="30" spans="1:12" x14ac:dyDescent="0.3">
      <c r="G30" s="6"/>
    </row>
    <row r="31" spans="1:12" x14ac:dyDescent="0.3">
      <c r="G31" s="6"/>
    </row>
    <row r="32" spans="1:12" x14ac:dyDescent="0.3">
      <c r="G32" s="6"/>
    </row>
    <row r="33" spans="7:7" x14ac:dyDescent="0.3">
      <c r="G33" s="6"/>
    </row>
    <row r="34" spans="7:7" x14ac:dyDescent="0.3">
      <c r="G34" s="6"/>
    </row>
    <row r="35" spans="7:7" x14ac:dyDescent="0.3">
      <c r="G35" s="6"/>
    </row>
    <row r="36" spans="7:7" x14ac:dyDescent="0.3">
      <c r="G36" s="6"/>
    </row>
    <row r="37" spans="7:7" x14ac:dyDescent="0.3">
      <c r="G37" s="6"/>
    </row>
    <row r="38" spans="7:7" x14ac:dyDescent="0.3">
      <c r="G38" s="6"/>
    </row>
    <row r="39" spans="7:7" x14ac:dyDescent="0.3">
      <c r="G39" s="6"/>
    </row>
    <row r="40" spans="7:7" x14ac:dyDescent="0.3">
      <c r="G40" s="6"/>
    </row>
    <row r="41" spans="7:7" x14ac:dyDescent="0.3">
      <c r="G41" s="6"/>
    </row>
    <row r="42" spans="7:7" x14ac:dyDescent="0.3">
      <c r="G42" s="6"/>
    </row>
    <row r="43" spans="7:7" x14ac:dyDescent="0.3">
      <c r="G43" s="6"/>
    </row>
    <row r="44" spans="7:7" x14ac:dyDescent="0.3">
      <c r="G44" s="6"/>
    </row>
    <row r="45" spans="7:7" x14ac:dyDescent="0.3">
      <c r="G45" s="6"/>
    </row>
    <row r="46" spans="7:7" x14ac:dyDescent="0.3">
      <c r="G46" s="6"/>
    </row>
    <row r="47" spans="7:7" x14ac:dyDescent="0.3">
      <c r="G47" s="6"/>
    </row>
    <row r="48" spans="7:7" x14ac:dyDescent="0.3">
      <c r="G48" s="6"/>
    </row>
    <row r="49" spans="6:7" x14ac:dyDescent="0.3">
      <c r="G49" s="6"/>
    </row>
    <row r="50" spans="6:7" x14ac:dyDescent="0.3">
      <c r="G50" s="6"/>
    </row>
    <row r="51" spans="6:7" x14ac:dyDescent="0.3">
      <c r="G51" s="6"/>
    </row>
    <row r="52" spans="6:7" x14ac:dyDescent="0.3">
      <c r="G52" s="6"/>
    </row>
    <row r="53" spans="6:7" x14ac:dyDescent="0.3">
      <c r="G53" s="6"/>
    </row>
    <row r="54" spans="6:7" x14ac:dyDescent="0.3">
      <c r="G54" s="6"/>
    </row>
    <row r="55" spans="6:7" x14ac:dyDescent="0.3">
      <c r="G55" s="6"/>
    </row>
    <row r="56" spans="6:7" x14ac:dyDescent="0.3">
      <c r="G56" s="6"/>
    </row>
    <row r="57" spans="6:7" x14ac:dyDescent="0.3">
      <c r="G57" s="6"/>
    </row>
    <row r="58" spans="6:7" x14ac:dyDescent="0.3">
      <c r="F58" s="7"/>
    </row>
    <row r="59" spans="6:7" x14ac:dyDescent="0.3">
      <c r="F59" s="7"/>
    </row>
  </sheetData>
  <pageMargins left="0.7" right="0.7" top="0.78740157499999996" bottom="0.78740157499999996" header="0.3" footer="0.3"/>
  <pageSetup paperSize="9" orientation="landscape" r:id="rId1"/>
  <headerFooter>
    <oddHeader>&amp;LMaster Thesis 2023/2024&amp;CSt. Lawrence Parish House,
Petrinja, Croatia&amp;R&amp;G</oddHeader>
    <oddFooter>&amp;L&amp;A&amp;CModel: Initial state&amp;R&amp;P</oddFooter>
  </headerFooter>
  <drawing r:id="rId2"/>
  <legacyDrawingHF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2C55-5A8A-4A87-A258-EF18F8DD0CC5}">
  <sheetPr>
    <tabColor theme="6"/>
  </sheetPr>
  <dimension ref="A1:N80"/>
  <sheetViews>
    <sheetView view="pageLayout" zoomScaleNormal="85" workbookViewId="0">
      <selection activeCell="G4" sqref="G4"/>
    </sheetView>
  </sheetViews>
  <sheetFormatPr baseColWidth="10" defaultColWidth="10.6640625" defaultRowHeight="14" x14ac:dyDescent="0.3"/>
  <cols>
    <col min="1" max="1" width="12.83203125" bestFit="1" customWidth="1"/>
    <col min="2" max="2" width="8" bestFit="1" customWidth="1"/>
    <col min="3" max="3" width="8.25" customWidth="1"/>
    <col min="4" max="4" width="8.4140625" bestFit="1" customWidth="1"/>
    <col min="5" max="5" width="9.58203125" bestFit="1" customWidth="1"/>
    <col min="6" max="6" width="9.08203125" bestFit="1" customWidth="1"/>
    <col min="7" max="7" width="9.33203125" bestFit="1" customWidth="1"/>
  </cols>
  <sheetData>
    <row r="1" spans="1:14" ht="17" thickBot="1" x14ac:dyDescent="0.4">
      <c r="A1" s="102" t="s">
        <v>413</v>
      </c>
      <c r="B1" s="103"/>
      <c r="C1" s="104"/>
      <c r="D1" s="104"/>
      <c r="E1" s="103"/>
      <c r="F1" s="103"/>
      <c r="G1" s="103"/>
      <c r="H1" s="103"/>
    </row>
    <row r="2" spans="1:14" x14ac:dyDescent="0.3">
      <c r="A2" s="61" t="s">
        <v>378</v>
      </c>
      <c r="B2" t="s">
        <v>379</v>
      </c>
      <c r="C2" s="25"/>
    </row>
    <row r="3" spans="1:14" x14ac:dyDescent="0.3">
      <c r="A3" s="61" t="s">
        <v>375</v>
      </c>
      <c r="B3" s="140">
        <f ca="1">TODAY()</f>
        <v>45304</v>
      </c>
      <c r="C3" s="140"/>
    </row>
    <row r="4" spans="1:14" x14ac:dyDescent="0.3">
      <c r="A4" s="61" t="s">
        <v>398</v>
      </c>
      <c r="B4" t="s">
        <v>416</v>
      </c>
      <c r="C4" s="25"/>
    </row>
    <row r="5" spans="1:14" x14ac:dyDescent="0.3">
      <c r="A5" s="61" t="s">
        <v>377</v>
      </c>
      <c r="B5" t="s">
        <v>414</v>
      </c>
      <c r="C5" s="25"/>
    </row>
    <row r="6" spans="1:14" x14ac:dyDescent="0.3">
      <c r="A6" s="6"/>
      <c r="B6" s="6"/>
      <c r="C6" s="6"/>
      <c r="D6" s="6"/>
      <c r="E6" s="6"/>
      <c r="F6" s="6"/>
      <c r="G6" s="6"/>
    </row>
    <row r="7" spans="1:14" ht="17" thickBot="1" x14ac:dyDescent="0.4">
      <c r="A7" s="106" t="s">
        <v>322</v>
      </c>
      <c r="B7" s="106" t="s">
        <v>330</v>
      </c>
      <c r="C7" s="106" t="s">
        <v>331</v>
      </c>
      <c r="D7" s="106" t="s">
        <v>332</v>
      </c>
      <c r="E7" s="106" t="s">
        <v>333</v>
      </c>
      <c r="F7" s="106" t="s">
        <v>334</v>
      </c>
      <c r="G7" s="106" t="s">
        <v>335</v>
      </c>
      <c r="H7" s="103"/>
    </row>
    <row r="8" spans="1:14" x14ac:dyDescent="0.3">
      <c r="A8" s="66">
        <v>1</v>
      </c>
      <c r="B8" s="65">
        <v>0</v>
      </c>
      <c r="C8" s="65">
        <v>0</v>
      </c>
      <c r="D8" s="65">
        <f>M_Nodes!B8*-9.81</f>
        <v>-13130.685000000001</v>
      </c>
      <c r="E8" s="66">
        <v>0</v>
      </c>
      <c r="F8" s="66">
        <v>13656</v>
      </c>
      <c r="G8" s="66">
        <v>0</v>
      </c>
      <c r="N8" s="29"/>
    </row>
    <row r="9" spans="1:14" x14ac:dyDescent="0.3">
      <c r="A9" s="66">
        <v>2</v>
      </c>
      <c r="B9" s="65">
        <v>0</v>
      </c>
      <c r="C9" s="65">
        <v>0</v>
      </c>
      <c r="D9" s="65">
        <f>M_Nodes!B9*-9.81</f>
        <v>-15782.328</v>
      </c>
      <c r="E9" s="66">
        <v>0</v>
      </c>
      <c r="F9" s="66">
        <v>-10258</v>
      </c>
      <c r="G9" s="66">
        <v>0</v>
      </c>
    </row>
    <row r="10" spans="1:14" x14ac:dyDescent="0.3">
      <c r="A10" s="66">
        <v>3</v>
      </c>
      <c r="B10" s="65">
        <v>0</v>
      </c>
      <c r="C10" s="65">
        <v>0</v>
      </c>
      <c r="D10" s="65">
        <f>M_Nodes!B10*-9.81</f>
        <v>-22037.184000000001</v>
      </c>
      <c r="E10" s="66">
        <v>0</v>
      </c>
      <c r="F10" s="66">
        <v>0</v>
      </c>
      <c r="G10" s="66">
        <v>0</v>
      </c>
    </row>
    <row r="11" spans="1:14" x14ac:dyDescent="0.3">
      <c r="A11" s="66">
        <v>5</v>
      </c>
      <c r="B11" s="65">
        <v>0</v>
      </c>
      <c r="C11" s="65">
        <v>0</v>
      </c>
      <c r="D11" s="65">
        <f>M_Nodes!B11*-9.81</f>
        <v>-15782.328</v>
      </c>
      <c r="E11" s="66">
        <v>0</v>
      </c>
      <c r="F11" s="66">
        <v>10258</v>
      </c>
      <c r="G11" s="66">
        <v>0</v>
      </c>
    </row>
    <row r="12" spans="1:14" x14ac:dyDescent="0.3">
      <c r="A12" s="66">
        <v>6</v>
      </c>
      <c r="B12" s="65">
        <v>0</v>
      </c>
      <c r="C12" s="65">
        <v>0</v>
      </c>
      <c r="D12" s="65">
        <f>M_Nodes!B12*-9.81</f>
        <v>-13130.685000000001</v>
      </c>
      <c r="E12" s="66">
        <v>0</v>
      </c>
      <c r="F12" s="66">
        <v>-13656</v>
      </c>
      <c r="G12" s="66">
        <v>0</v>
      </c>
    </row>
    <row r="13" spans="1:14" x14ac:dyDescent="0.3">
      <c r="A13" s="66">
        <v>7</v>
      </c>
      <c r="B13" s="65">
        <v>0</v>
      </c>
      <c r="C13" s="65">
        <v>0</v>
      </c>
      <c r="D13" s="65">
        <f>M_Nodes!B13*-9.81</f>
        <v>-34157.439000000006</v>
      </c>
      <c r="E13" s="66">
        <v>0</v>
      </c>
      <c r="F13" s="66">
        <v>35524</v>
      </c>
      <c r="G13" s="66">
        <v>0</v>
      </c>
    </row>
    <row r="14" spans="1:14" x14ac:dyDescent="0.3">
      <c r="A14" s="66">
        <v>8</v>
      </c>
      <c r="B14" s="65">
        <v>0</v>
      </c>
      <c r="C14" s="65">
        <v>0</v>
      </c>
      <c r="D14" s="65">
        <f>M_Nodes!B14*-9.81</f>
        <v>-41054.85</v>
      </c>
      <c r="E14" s="66">
        <v>0</v>
      </c>
      <c r="F14" s="66">
        <v>-26686</v>
      </c>
      <c r="G14" s="66">
        <v>0</v>
      </c>
    </row>
    <row r="15" spans="1:14" x14ac:dyDescent="0.3">
      <c r="A15" s="66">
        <v>9</v>
      </c>
      <c r="B15" s="65">
        <v>0</v>
      </c>
      <c r="C15" s="65">
        <v>0</v>
      </c>
      <c r="D15" s="65">
        <f>M_Nodes!B15*-9.81</f>
        <v>-52550.208000000006</v>
      </c>
      <c r="E15" s="66">
        <v>0</v>
      </c>
      <c r="F15" s="66">
        <v>0</v>
      </c>
      <c r="G15" s="66">
        <v>0</v>
      </c>
    </row>
    <row r="16" spans="1:14" x14ac:dyDescent="0.3">
      <c r="A16" s="66">
        <v>11</v>
      </c>
      <c r="B16" s="65">
        <v>0</v>
      </c>
      <c r="C16" s="65">
        <v>0</v>
      </c>
      <c r="D16" s="65">
        <f>M_Nodes!B16*-9.81</f>
        <v>-41054.85</v>
      </c>
      <c r="E16" s="66">
        <v>0</v>
      </c>
      <c r="F16" s="66">
        <v>26686</v>
      </c>
      <c r="G16" s="66">
        <v>0</v>
      </c>
      <c r="J16" s="1"/>
    </row>
    <row r="17" spans="1:14" x14ac:dyDescent="0.3">
      <c r="A17" s="66">
        <v>12</v>
      </c>
      <c r="B17" s="65">
        <v>0</v>
      </c>
      <c r="C17" s="65">
        <v>0</v>
      </c>
      <c r="D17" s="65">
        <f>M_Nodes!B17*-9.81</f>
        <v>-34157.439000000006</v>
      </c>
      <c r="E17" s="66">
        <v>0</v>
      </c>
      <c r="F17" s="66">
        <v>-35524</v>
      </c>
      <c r="G17" s="66">
        <v>0</v>
      </c>
    </row>
    <row r="18" spans="1:14" x14ac:dyDescent="0.3">
      <c r="A18" s="66">
        <v>13</v>
      </c>
      <c r="B18" s="65">
        <v>0</v>
      </c>
      <c r="C18" s="65">
        <v>0</v>
      </c>
      <c r="D18" s="65">
        <f>M_Nodes!B18*-9.81</f>
        <v>-20567.646000000001</v>
      </c>
      <c r="E18" s="66">
        <v>0</v>
      </c>
      <c r="F18" s="66">
        <v>21391</v>
      </c>
      <c r="G18" s="66">
        <v>0</v>
      </c>
    </row>
    <row r="19" spans="1:14" x14ac:dyDescent="0.3">
      <c r="A19" s="66">
        <v>14</v>
      </c>
      <c r="B19" s="65">
        <v>0</v>
      </c>
      <c r="C19" s="65">
        <v>0</v>
      </c>
      <c r="D19" s="65">
        <f>M_Nodes!B19*-9.81</f>
        <v>-24721.200000000001</v>
      </c>
      <c r="E19" s="66">
        <v>0</v>
      </c>
      <c r="F19" s="66">
        <v>-16069</v>
      </c>
      <c r="G19" s="66">
        <v>0</v>
      </c>
    </row>
    <row r="20" spans="1:14" x14ac:dyDescent="0.3">
      <c r="A20" s="66">
        <v>17</v>
      </c>
      <c r="B20" s="65">
        <v>0</v>
      </c>
      <c r="C20" s="65">
        <v>0</v>
      </c>
      <c r="D20" s="65">
        <f>M_Nodes!B20*-9.81</f>
        <v>-24721.200000000001</v>
      </c>
      <c r="E20" s="66">
        <v>0</v>
      </c>
      <c r="F20" s="66">
        <v>16069</v>
      </c>
      <c r="G20" s="66">
        <v>0</v>
      </c>
      <c r="N20" s="29"/>
    </row>
    <row r="21" spans="1:14" x14ac:dyDescent="0.3">
      <c r="A21" s="66">
        <v>18</v>
      </c>
      <c r="B21" s="65">
        <v>0</v>
      </c>
      <c r="C21" s="65">
        <v>0</v>
      </c>
      <c r="D21" s="65">
        <f>M_Nodes!B21*-9.81</f>
        <v>-20567.646000000001</v>
      </c>
      <c r="E21" s="66">
        <v>0</v>
      </c>
      <c r="F21" s="66">
        <v>-21391</v>
      </c>
      <c r="G21" s="66">
        <v>0</v>
      </c>
    </row>
    <row r="22" spans="1:14" x14ac:dyDescent="0.3">
      <c r="A22" s="66">
        <v>19</v>
      </c>
      <c r="B22" s="65">
        <v>0</v>
      </c>
      <c r="C22" s="65">
        <v>0</v>
      </c>
      <c r="D22" s="65">
        <f>M_Nodes!B22*-9.81</f>
        <v>-14393.232000000002</v>
      </c>
      <c r="E22" s="66">
        <v>5613</v>
      </c>
      <c r="F22" s="66">
        <v>0</v>
      </c>
      <c r="G22" s="66">
        <v>0</v>
      </c>
    </row>
    <row r="23" spans="1:14" x14ac:dyDescent="0.3">
      <c r="A23" s="66">
        <v>20</v>
      </c>
      <c r="B23" s="65">
        <v>0</v>
      </c>
      <c r="C23" s="65">
        <v>0</v>
      </c>
      <c r="D23" s="65">
        <f>M_Nodes!B23*-9.81</f>
        <v>-27776.034000000003</v>
      </c>
      <c r="E23" s="66">
        <v>1389</v>
      </c>
      <c r="F23" s="66">
        <v>0</v>
      </c>
      <c r="G23" s="66">
        <v>0</v>
      </c>
    </row>
    <row r="24" spans="1:14" x14ac:dyDescent="0.3">
      <c r="A24" s="66">
        <v>21</v>
      </c>
      <c r="B24" s="65">
        <v>0</v>
      </c>
      <c r="C24" s="65">
        <v>0</v>
      </c>
      <c r="D24" s="65">
        <f>M_Nodes!B24*-9.81</f>
        <v>-14393.232000000002</v>
      </c>
      <c r="E24" s="66">
        <v>16408</v>
      </c>
      <c r="F24" s="66">
        <v>0</v>
      </c>
      <c r="G24" s="66">
        <v>0</v>
      </c>
    </row>
    <row r="25" spans="1:14" x14ac:dyDescent="0.3">
      <c r="A25" s="66">
        <v>22</v>
      </c>
      <c r="B25" s="65">
        <v>0</v>
      </c>
      <c r="C25" s="65">
        <v>0</v>
      </c>
      <c r="D25" s="65">
        <f>M_Nodes!B25*-9.81</f>
        <v>-37441.826999999997</v>
      </c>
      <c r="E25" s="66">
        <v>14602</v>
      </c>
      <c r="F25" s="66">
        <v>0</v>
      </c>
      <c r="G25" s="66">
        <v>0</v>
      </c>
    </row>
    <row r="26" spans="1:14" x14ac:dyDescent="0.3">
      <c r="A26" s="66">
        <v>23</v>
      </c>
      <c r="B26" s="65">
        <v>0</v>
      </c>
      <c r="C26" s="65">
        <v>0</v>
      </c>
      <c r="D26" s="65">
        <f>M_Nodes!B26*-9.81</f>
        <v>-72256.536000000007</v>
      </c>
      <c r="E26" s="66">
        <v>3613</v>
      </c>
      <c r="F26" s="66">
        <v>0</v>
      </c>
      <c r="G26" s="66">
        <v>0</v>
      </c>
    </row>
    <row r="27" spans="1:14" x14ac:dyDescent="0.3">
      <c r="A27" s="66">
        <v>24</v>
      </c>
      <c r="B27" s="65">
        <v>0</v>
      </c>
      <c r="C27" s="65">
        <v>0</v>
      </c>
      <c r="D27" s="65">
        <f>M_Nodes!B27*-9.81</f>
        <v>-37441.826999999997</v>
      </c>
      <c r="E27" s="66">
        <v>42684</v>
      </c>
      <c r="F27" s="66">
        <v>0</v>
      </c>
      <c r="G27" s="66">
        <v>0</v>
      </c>
    </row>
    <row r="28" spans="1:14" x14ac:dyDescent="0.3">
      <c r="A28" s="66">
        <v>27</v>
      </c>
      <c r="B28" s="65">
        <v>0</v>
      </c>
      <c r="C28" s="65">
        <v>0</v>
      </c>
      <c r="D28" s="65">
        <f>M_Nodes!B28*-9.81</f>
        <v>-22545.342000000001</v>
      </c>
      <c r="E28" s="66">
        <v>25702</v>
      </c>
      <c r="F28" s="66">
        <v>0</v>
      </c>
      <c r="G28" s="66">
        <v>0</v>
      </c>
    </row>
    <row r="29" spans="1:14" x14ac:dyDescent="0.3">
      <c r="A29" s="66">
        <v>28</v>
      </c>
      <c r="B29" s="65">
        <v>0</v>
      </c>
      <c r="C29" s="65">
        <v>0</v>
      </c>
      <c r="D29" s="65">
        <f>M_Nodes!B29*-9.81</f>
        <v>-17044.875</v>
      </c>
      <c r="E29" s="66">
        <v>0</v>
      </c>
      <c r="F29" s="66">
        <v>9374</v>
      </c>
      <c r="G29" s="66">
        <v>0</v>
      </c>
      <c r="J29" s="1"/>
    </row>
    <row r="30" spans="1:14" x14ac:dyDescent="0.3">
      <c r="A30" s="66">
        <v>29</v>
      </c>
      <c r="B30" s="65">
        <v>0</v>
      </c>
      <c r="C30" s="65">
        <v>0</v>
      </c>
      <c r="D30" s="65">
        <f>M_Nodes!B30*-9.81</f>
        <v>-17675.657999999999</v>
      </c>
      <c r="E30" s="66">
        <v>0</v>
      </c>
      <c r="F30" s="66">
        <v>-15908</v>
      </c>
      <c r="G30" s="66">
        <v>0</v>
      </c>
    </row>
    <row r="31" spans="1:14" x14ac:dyDescent="0.3">
      <c r="A31" s="66">
        <v>30</v>
      </c>
      <c r="B31" s="65">
        <v>0</v>
      </c>
      <c r="C31" s="65">
        <v>0</v>
      </c>
      <c r="D31" s="65">
        <f>M_Nodes!B31*-9.81</f>
        <v>-17044.875</v>
      </c>
      <c r="E31" s="66">
        <v>0</v>
      </c>
      <c r="F31" s="66">
        <v>-9374</v>
      </c>
      <c r="G31" s="66">
        <v>0</v>
      </c>
    </row>
    <row r="32" spans="1:14" x14ac:dyDescent="0.3">
      <c r="A32" s="66">
        <v>31</v>
      </c>
      <c r="B32" s="65">
        <v>0</v>
      </c>
      <c r="C32" s="65">
        <v>0</v>
      </c>
      <c r="D32" s="65">
        <f>M_Nodes!B32*-9.81</f>
        <v>-13130.685000000001</v>
      </c>
      <c r="E32" s="66">
        <v>0</v>
      </c>
      <c r="F32" s="66">
        <v>13656</v>
      </c>
      <c r="G32" s="66">
        <v>0</v>
      </c>
    </row>
    <row r="33" spans="1:7" x14ac:dyDescent="0.3">
      <c r="A33" s="66">
        <v>32</v>
      </c>
      <c r="B33" s="65">
        <v>0</v>
      </c>
      <c r="C33" s="65">
        <v>0</v>
      </c>
      <c r="D33" s="65">
        <f>M_Nodes!B33*-9.81</f>
        <v>-44339.238000000005</v>
      </c>
      <c r="E33" s="66">
        <v>0</v>
      </c>
      <c r="F33" s="66">
        <v>24387</v>
      </c>
      <c r="G33" s="66">
        <v>0</v>
      </c>
    </row>
    <row r="34" spans="1:7" x14ac:dyDescent="0.3">
      <c r="A34" s="66">
        <v>33</v>
      </c>
      <c r="B34" s="65">
        <v>0</v>
      </c>
      <c r="C34" s="65">
        <v>0</v>
      </c>
      <c r="D34" s="65">
        <f>M_Nodes!B34*-9.81</f>
        <v>-45981.432000000001</v>
      </c>
      <c r="E34" s="66">
        <v>0</v>
      </c>
      <c r="F34" s="66">
        <v>-41383</v>
      </c>
      <c r="G34" s="66">
        <v>0</v>
      </c>
    </row>
    <row r="35" spans="1:7" x14ac:dyDescent="0.3">
      <c r="A35" s="66">
        <v>34</v>
      </c>
      <c r="B35" s="65">
        <v>0</v>
      </c>
      <c r="C35" s="65">
        <v>0</v>
      </c>
      <c r="D35" s="65">
        <f>M_Nodes!B35*-9.81</f>
        <v>-44339.238000000005</v>
      </c>
      <c r="E35" s="66">
        <v>0</v>
      </c>
      <c r="F35" s="66">
        <v>-24387</v>
      </c>
      <c r="G35" s="66">
        <v>0</v>
      </c>
    </row>
    <row r="36" spans="1:7" x14ac:dyDescent="0.3">
      <c r="A36" s="66">
        <v>35</v>
      </c>
      <c r="B36" s="65">
        <v>0</v>
      </c>
      <c r="C36" s="65">
        <v>0</v>
      </c>
      <c r="D36" s="65">
        <f>M_Nodes!B36*-9.81</f>
        <v>-34157.439000000006</v>
      </c>
      <c r="E36" s="66">
        <v>0</v>
      </c>
      <c r="F36" s="66">
        <v>35524</v>
      </c>
      <c r="G36" s="66">
        <v>0</v>
      </c>
    </row>
    <row r="37" spans="1:7" x14ac:dyDescent="0.3">
      <c r="A37" s="66">
        <v>36</v>
      </c>
      <c r="B37" s="65">
        <v>0</v>
      </c>
      <c r="C37" s="65">
        <v>0</v>
      </c>
      <c r="D37" s="65">
        <f>M_Nodes!B37*-9.81</f>
        <v>-26698.896000000001</v>
      </c>
      <c r="E37" s="66">
        <v>0</v>
      </c>
      <c r="F37" s="66">
        <v>14684</v>
      </c>
      <c r="G37" s="66">
        <v>0</v>
      </c>
    </row>
    <row r="38" spans="1:7" x14ac:dyDescent="0.3">
      <c r="A38" s="66">
        <v>37</v>
      </c>
      <c r="B38" s="65">
        <v>0</v>
      </c>
      <c r="C38" s="65">
        <v>0</v>
      </c>
      <c r="D38" s="65">
        <f>M_Nodes!B38*-9.81</f>
        <v>-27687.744000000002</v>
      </c>
      <c r="E38" s="66">
        <v>0</v>
      </c>
      <c r="F38" s="66">
        <v>-24919</v>
      </c>
      <c r="G38" s="66">
        <v>0</v>
      </c>
    </row>
    <row r="39" spans="1:7" x14ac:dyDescent="0.3">
      <c r="A39" s="66">
        <v>38</v>
      </c>
      <c r="B39" s="65">
        <v>0</v>
      </c>
      <c r="C39" s="65">
        <v>0</v>
      </c>
      <c r="D39" s="65">
        <f>M_Nodes!B39*-9.81</f>
        <v>-26698.896000000001</v>
      </c>
      <c r="E39" s="66">
        <v>0</v>
      </c>
      <c r="F39" s="66">
        <v>-14684</v>
      </c>
      <c r="G39" s="66">
        <v>0</v>
      </c>
    </row>
    <row r="40" spans="1:7" x14ac:dyDescent="0.3">
      <c r="A40" s="66">
        <v>39</v>
      </c>
      <c r="B40" s="65">
        <v>0</v>
      </c>
      <c r="C40" s="65">
        <v>0</v>
      </c>
      <c r="D40" s="65">
        <f>M_Nodes!B40*-9.81</f>
        <v>-20567.646000000001</v>
      </c>
      <c r="E40" s="66">
        <v>0</v>
      </c>
      <c r="F40" s="66">
        <v>21391</v>
      </c>
      <c r="G40" s="66">
        <v>0</v>
      </c>
    </row>
    <row r="41" spans="1:7" x14ac:dyDescent="0.3">
      <c r="A41" s="66">
        <v>40</v>
      </c>
      <c r="B41" s="65">
        <v>0</v>
      </c>
      <c r="C41" s="65">
        <v>0</v>
      </c>
      <c r="D41" s="65">
        <f>M_Nodes!B41*-9.81</f>
        <v>-27776.034000000003</v>
      </c>
      <c r="E41" s="66">
        <v>1389</v>
      </c>
      <c r="F41" s="66">
        <v>0</v>
      </c>
      <c r="G41" s="66">
        <v>0</v>
      </c>
    </row>
    <row r="42" spans="1:7" x14ac:dyDescent="0.3">
      <c r="A42" s="66">
        <v>41</v>
      </c>
      <c r="B42" s="65">
        <v>0</v>
      </c>
      <c r="C42" s="65">
        <v>0</v>
      </c>
      <c r="D42" s="65">
        <f>M_Nodes!B42*-9.81</f>
        <v>-72256.536000000007</v>
      </c>
      <c r="E42" s="66">
        <v>3613</v>
      </c>
      <c r="F42" s="66">
        <v>0</v>
      </c>
      <c r="G42" s="66">
        <v>0</v>
      </c>
    </row>
    <row r="43" spans="1:7" x14ac:dyDescent="0.3">
      <c r="A43" s="66">
        <v>42</v>
      </c>
      <c r="B43" s="65">
        <v>0</v>
      </c>
      <c r="C43" s="65">
        <v>0</v>
      </c>
      <c r="D43" s="65">
        <f>M_Nodes!B43*-9.81</f>
        <v>-43509.311999999998</v>
      </c>
      <c r="E43" s="66">
        <v>2175</v>
      </c>
      <c r="F43" s="66">
        <v>0</v>
      </c>
      <c r="G43" s="66">
        <v>0</v>
      </c>
    </row>
    <row r="44" spans="1:7" x14ac:dyDescent="0.3">
      <c r="A44" s="66">
        <v>43</v>
      </c>
      <c r="B44" s="65">
        <v>0</v>
      </c>
      <c r="C44" s="65">
        <v>0</v>
      </c>
      <c r="D44" s="65">
        <f>M_Nodes!B44*-9.81</f>
        <v>-28266.534000000003</v>
      </c>
      <c r="E44" s="66">
        <v>0</v>
      </c>
      <c r="F44" s="66">
        <v>11589</v>
      </c>
      <c r="G44" s="66">
        <v>0</v>
      </c>
    </row>
    <row r="45" spans="1:7" x14ac:dyDescent="0.3">
      <c r="A45" s="66">
        <v>44</v>
      </c>
      <c r="B45" s="65">
        <v>0</v>
      </c>
      <c r="C45" s="65">
        <v>0</v>
      </c>
      <c r="D45" s="65">
        <f>M_Nodes!B45*-9.81</f>
        <v>-21606.525000000001</v>
      </c>
      <c r="E45" s="66">
        <v>0</v>
      </c>
      <c r="F45" s="66">
        <v>-17717</v>
      </c>
      <c r="G45" s="66">
        <v>0</v>
      </c>
    </row>
    <row r="46" spans="1:7" x14ac:dyDescent="0.3">
      <c r="A46" s="66">
        <v>45</v>
      </c>
      <c r="B46" s="65">
        <v>0</v>
      </c>
      <c r="C46" s="65">
        <v>0</v>
      </c>
      <c r="D46" s="65">
        <f>M_Nodes!B46*-9.81</f>
        <v>-12508.731</v>
      </c>
      <c r="E46" s="66">
        <v>0</v>
      </c>
      <c r="F46" s="66">
        <v>5754</v>
      </c>
      <c r="G46" s="66">
        <v>0</v>
      </c>
    </row>
    <row r="47" spans="1:7" x14ac:dyDescent="0.3">
      <c r="A47" s="66">
        <v>46</v>
      </c>
      <c r="B47" s="65">
        <v>0</v>
      </c>
      <c r="C47" s="65">
        <v>0</v>
      </c>
      <c r="D47" s="65">
        <f>M_Nodes!B47*-9.81</f>
        <v>-35026.605000000003</v>
      </c>
      <c r="E47" s="66">
        <v>0</v>
      </c>
      <c r="F47" s="66">
        <v>14361</v>
      </c>
      <c r="G47" s="66">
        <v>0</v>
      </c>
    </row>
    <row r="48" spans="1:7" x14ac:dyDescent="0.3">
      <c r="A48" s="66">
        <v>47</v>
      </c>
      <c r="B48" s="65">
        <v>0</v>
      </c>
      <c r="C48" s="65">
        <v>0</v>
      </c>
      <c r="D48" s="65">
        <f>M_Nodes!B48*-9.81</f>
        <v>-26773.452000000001</v>
      </c>
      <c r="E48" s="66">
        <v>0</v>
      </c>
      <c r="F48" s="66">
        <v>-21954</v>
      </c>
      <c r="G48" s="66">
        <v>0</v>
      </c>
    </row>
    <row r="49" spans="1:7" x14ac:dyDescent="0.3">
      <c r="A49" s="66">
        <v>48</v>
      </c>
      <c r="B49" s="65">
        <v>0</v>
      </c>
      <c r="C49" s="65">
        <v>0</v>
      </c>
      <c r="D49" s="65">
        <f>M_Nodes!B49*-9.81</f>
        <v>-15499.800000000001</v>
      </c>
      <c r="E49" s="66">
        <v>0</v>
      </c>
      <c r="F49" s="66">
        <v>7130</v>
      </c>
      <c r="G49" s="66">
        <v>0</v>
      </c>
    </row>
    <row r="50" spans="1:7" x14ac:dyDescent="0.3">
      <c r="A50" s="66">
        <v>52</v>
      </c>
      <c r="B50" s="65">
        <v>0</v>
      </c>
      <c r="C50" s="65">
        <v>0</v>
      </c>
      <c r="D50" s="65">
        <f>M_Nodes!B50*-9.81</f>
        <v>-9341.0820000000003</v>
      </c>
      <c r="E50" s="66">
        <v>-3503</v>
      </c>
      <c r="F50" s="66">
        <v>0</v>
      </c>
      <c r="G50" s="66">
        <v>0</v>
      </c>
    </row>
    <row r="51" spans="1:7" x14ac:dyDescent="0.3">
      <c r="A51" s="66">
        <v>53</v>
      </c>
      <c r="B51" s="65">
        <v>0</v>
      </c>
      <c r="C51" s="65">
        <v>0</v>
      </c>
      <c r="D51" s="65">
        <f>M_Nodes!B51*-9.81</f>
        <v>-9645.1920000000009</v>
      </c>
      <c r="E51" s="66">
        <v>-3617</v>
      </c>
      <c r="F51" s="66">
        <v>0</v>
      </c>
      <c r="G51" s="66">
        <v>0</v>
      </c>
    </row>
    <row r="52" spans="1:7" x14ac:dyDescent="0.3">
      <c r="A52" s="66">
        <v>58</v>
      </c>
      <c r="B52" s="65">
        <v>0</v>
      </c>
      <c r="C52" s="65">
        <v>0</v>
      </c>
      <c r="D52" s="65">
        <f>M_Nodes!B52*-9.81</f>
        <v>-14393.232000000002</v>
      </c>
      <c r="E52" s="66">
        <v>-16408</v>
      </c>
      <c r="F52" s="66">
        <v>0</v>
      </c>
      <c r="G52" s="66">
        <v>0</v>
      </c>
    </row>
    <row r="53" spans="1:7" x14ac:dyDescent="0.3">
      <c r="A53" s="66">
        <v>59</v>
      </c>
      <c r="B53" s="65">
        <v>0</v>
      </c>
      <c r="C53" s="65">
        <v>0</v>
      </c>
      <c r="D53" s="65">
        <f>M_Nodes!B53*-9.81</f>
        <v>-4955.0310000000009</v>
      </c>
      <c r="E53" s="66">
        <v>-1511</v>
      </c>
      <c r="F53" s="66">
        <v>0</v>
      </c>
      <c r="G53" s="66">
        <v>0</v>
      </c>
    </row>
    <row r="54" spans="1:7" x14ac:dyDescent="0.3">
      <c r="A54" s="66">
        <v>60</v>
      </c>
      <c r="B54" s="65">
        <v>0</v>
      </c>
      <c r="C54" s="65">
        <v>0</v>
      </c>
      <c r="D54" s="65">
        <f>M_Nodes!B54*-9.81</f>
        <v>-3492.36</v>
      </c>
      <c r="E54" s="66">
        <v>-751</v>
      </c>
      <c r="F54" s="66">
        <v>0</v>
      </c>
      <c r="G54" s="66">
        <v>0</v>
      </c>
    </row>
    <row r="55" spans="1:7" x14ac:dyDescent="0.3">
      <c r="A55" s="68">
        <v>62</v>
      </c>
      <c r="B55" s="65">
        <v>0</v>
      </c>
      <c r="C55" s="65">
        <v>0</v>
      </c>
      <c r="D55" s="65">
        <f>M_Nodes!B55*-9.81</f>
        <v>-37441.826999999997</v>
      </c>
      <c r="E55" s="66">
        <v>-42684</v>
      </c>
      <c r="F55" s="66">
        <v>0</v>
      </c>
      <c r="G55" s="66">
        <v>0</v>
      </c>
    </row>
    <row r="56" spans="1:7" x14ac:dyDescent="0.3">
      <c r="A56" s="68">
        <v>63</v>
      </c>
      <c r="B56" s="65">
        <v>0</v>
      </c>
      <c r="C56" s="65">
        <v>0</v>
      </c>
      <c r="D56" s="65">
        <f>M_Nodes!B56*-9.81</f>
        <v>-5627.9970000000003</v>
      </c>
      <c r="E56" s="66">
        <v>-1717</v>
      </c>
      <c r="F56" s="66">
        <v>0</v>
      </c>
      <c r="G56" s="66">
        <v>0</v>
      </c>
    </row>
    <row r="57" spans="1:7" x14ac:dyDescent="0.3">
      <c r="A57" s="68">
        <v>64</v>
      </c>
      <c r="B57" s="65">
        <v>0</v>
      </c>
      <c r="C57" s="65">
        <v>0</v>
      </c>
      <c r="D57" s="65">
        <f>M_Nodes!B57*-9.81</f>
        <v>-3606.1560000000004</v>
      </c>
      <c r="E57" s="66">
        <v>-775</v>
      </c>
      <c r="F57" s="66">
        <v>0</v>
      </c>
      <c r="G57" s="66">
        <v>0</v>
      </c>
    </row>
    <row r="58" spans="1:7" x14ac:dyDescent="0.3">
      <c r="A58" s="68">
        <v>66</v>
      </c>
      <c r="B58" s="65">
        <v>0</v>
      </c>
      <c r="C58" s="65">
        <v>0</v>
      </c>
      <c r="D58" s="65">
        <f>M_Nodes!B58*-9.81</f>
        <v>-22545.342000000001</v>
      </c>
      <c r="E58" s="66">
        <v>-25702</v>
      </c>
      <c r="F58" s="66">
        <v>0</v>
      </c>
      <c r="G58" s="66">
        <v>0</v>
      </c>
    </row>
    <row r="59" spans="1:7" x14ac:dyDescent="0.3">
      <c r="A59" s="68">
        <v>70</v>
      </c>
      <c r="B59" s="65">
        <v>0</v>
      </c>
      <c r="C59" s="65">
        <v>0</v>
      </c>
      <c r="D59" s="65">
        <f>M_Nodes!B59*-9.81</f>
        <v>-28266.534000000003</v>
      </c>
      <c r="E59" s="66">
        <v>0</v>
      </c>
      <c r="F59" s="66">
        <v>-49184</v>
      </c>
      <c r="G59" s="66">
        <v>0</v>
      </c>
    </row>
    <row r="60" spans="1:7" x14ac:dyDescent="0.3">
      <c r="A60" s="68">
        <v>71</v>
      </c>
      <c r="B60" s="65">
        <v>0</v>
      </c>
      <c r="C60" s="65">
        <v>0</v>
      </c>
      <c r="D60" s="65">
        <f>M_Nodes!B60*-9.81</f>
        <v>-21931.236000000001</v>
      </c>
      <c r="E60" s="66">
        <v>0</v>
      </c>
      <c r="F60" s="66">
        <v>-29607</v>
      </c>
      <c r="G60" s="66">
        <v>0</v>
      </c>
    </row>
    <row r="61" spans="1:7" x14ac:dyDescent="0.3">
      <c r="A61" s="68">
        <v>72</v>
      </c>
      <c r="B61" s="65">
        <v>0</v>
      </c>
      <c r="C61" s="65">
        <v>0</v>
      </c>
      <c r="D61" s="65">
        <f>M_Nodes!B61*-9.81</f>
        <v>-13130.685000000001</v>
      </c>
      <c r="E61" s="66">
        <v>0</v>
      </c>
      <c r="F61" s="66">
        <v>-13656</v>
      </c>
      <c r="G61" s="66">
        <v>0</v>
      </c>
    </row>
    <row r="62" spans="1:7" x14ac:dyDescent="0.3">
      <c r="A62" s="68">
        <v>73</v>
      </c>
      <c r="B62" s="65">
        <v>0</v>
      </c>
      <c r="C62" s="65">
        <v>0</v>
      </c>
      <c r="D62" s="65">
        <f>M_Nodes!B62*-9.81</f>
        <v>-23350.743000000002</v>
      </c>
      <c r="E62" s="66">
        <v>0</v>
      </c>
      <c r="F62" s="66">
        <v>-40631</v>
      </c>
      <c r="G62" s="66">
        <v>0</v>
      </c>
    </row>
    <row r="63" spans="1:7" x14ac:dyDescent="0.3">
      <c r="A63" s="68">
        <v>74</v>
      </c>
      <c r="B63" s="65">
        <v>0</v>
      </c>
      <c r="C63" s="65">
        <v>0</v>
      </c>
      <c r="D63" s="65">
        <f>M_Nodes!B63*-9.81</f>
        <v>-24911.514000000003</v>
      </c>
      <c r="E63" s="66">
        <v>0</v>
      </c>
      <c r="F63" s="66">
        <v>-33630</v>
      </c>
      <c r="G63" s="66">
        <v>0</v>
      </c>
    </row>
    <row r="64" spans="1:7" x14ac:dyDescent="0.3">
      <c r="A64" s="68">
        <v>75</v>
      </c>
      <c r="B64" s="65">
        <v>0</v>
      </c>
      <c r="C64" s="65">
        <v>0</v>
      </c>
      <c r="D64" s="65">
        <f>M_Nodes!B64*-9.81</f>
        <v>-34157.439000000006</v>
      </c>
      <c r="E64" s="66">
        <v>0</v>
      </c>
      <c r="F64" s="66">
        <v>-35524</v>
      </c>
      <c r="G64" s="66">
        <v>0</v>
      </c>
    </row>
    <row r="65" spans="1:7" x14ac:dyDescent="0.3">
      <c r="A65" s="68">
        <v>78</v>
      </c>
      <c r="B65" s="65">
        <v>0</v>
      </c>
      <c r="C65" s="65">
        <v>0</v>
      </c>
      <c r="D65" s="65">
        <f>M_Nodes!B65*-9.81</f>
        <v>-20567.646000000001</v>
      </c>
      <c r="E65" s="66">
        <v>0</v>
      </c>
      <c r="F65" s="66">
        <v>-21391</v>
      </c>
      <c r="G65" s="66">
        <v>0</v>
      </c>
    </row>
    <row r="66" spans="1:7" x14ac:dyDescent="0.3">
      <c r="A66" s="68">
        <v>79</v>
      </c>
      <c r="B66" s="65">
        <v>0</v>
      </c>
      <c r="C66" s="65">
        <v>0</v>
      </c>
      <c r="D66" s="65">
        <f>M_Nodes!B66*-9.81</f>
        <v>-18113.184000000001</v>
      </c>
      <c r="E66" s="66">
        <v>20197</v>
      </c>
      <c r="F66" s="66">
        <v>0</v>
      </c>
      <c r="G66" s="66">
        <v>0</v>
      </c>
    </row>
    <row r="67" spans="1:7" x14ac:dyDescent="0.3">
      <c r="A67" s="68">
        <v>80</v>
      </c>
      <c r="B67" s="65">
        <v>0</v>
      </c>
      <c r="C67" s="65">
        <v>0</v>
      </c>
      <c r="D67" s="65">
        <f>M_Nodes!B67*-9.81</f>
        <v>-18113.184000000001</v>
      </c>
      <c r="E67" s="66">
        <v>20197</v>
      </c>
      <c r="F67" s="66">
        <v>0</v>
      </c>
      <c r="G67" s="66">
        <v>0</v>
      </c>
    </row>
    <row r="68" spans="1:7" x14ac:dyDescent="0.3">
      <c r="A68" s="68">
        <v>81</v>
      </c>
      <c r="B68" s="65">
        <v>0</v>
      </c>
      <c r="C68" s="65">
        <v>0</v>
      </c>
      <c r="D68" s="65">
        <f>M_Nodes!B68*-9.81</f>
        <v>-14393.232000000002</v>
      </c>
      <c r="E68" s="66">
        <v>16408</v>
      </c>
      <c r="F68" s="66">
        <v>0</v>
      </c>
      <c r="G68" s="66">
        <v>0</v>
      </c>
    </row>
    <row r="69" spans="1:7" x14ac:dyDescent="0.3">
      <c r="A69" s="68">
        <v>82</v>
      </c>
      <c r="B69" s="65">
        <v>0</v>
      </c>
      <c r="C69" s="65">
        <v>0</v>
      </c>
      <c r="D69" s="65">
        <f>M_Nodes!B69*-9.81</f>
        <v>-18704.727000000003</v>
      </c>
      <c r="E69" s="66">
        <v>20855</v>
      </c>
      <c r="F69" s="66">
        <v>0</v>
      </c>
      <c r="G69" s="66">
        <v>0</v>
      </c>
    </row>
    <row r="70" spans="1:7" x14ac:dyDescent="0.3">
      <c r="A70" s="68">
        <v>83</v>
      </c>
      <c r="B70" s="65">
        <v>0</v>
      </c>
      <c r="C70" s="65">
        <v>0</v>
      </c>
      <c r="D70" s="65">
        <f>M_Nodes!B70*-9.81</f>
        <v>-18704.727000000003</v>
      </c>
      <c r="E70" s="66">
        <v>20855</v>
      </c>
      <c r="F70" s="66">
        <v>0</v>
      </c>
      <c r="G70" s="66">
        <v>0</v>
      </c>
    </row>
    <row r="71" spans="1:7" x14ac:dyDescent="0.3">
      <c r="A71" s="68">
        <v>84</v>
      </c>
      <c r="B71" s="65">
        <v>0</v>
      </c>
      <c r="C71" s="65">
        <v>0</v>
      </c>
      <c r="D71" s="65">
        <f>M_Nodes!B71*-9.81</f>
        <v>-37441.826999999997</v>
      </c>
      <c r="E71" s="66">
        <v>42684</v>
      </c>
      <c r="F71" s="66">
        <v>0</v>
      </c>
      <c r="G71" s="66">
        <v>0</v>
      </c>
    </row>
    <row r="72" spans="1:7" x14ac:dyDescent="0.3">
      <c r="A72" s="68">
        <v>87</v>
      </c>
      <c r="B72" s="65">
        <v>0</v>
      </c>
      <c r="C72" s="65">
        <v>0</v>
      </c>
      <c r="D72" s="65">
        <f>M_Nodes!B72*-9.81</f>
        <v>-22545.342000000001</v>
      </c>
      <c r="E72" s="66">
        <v>25702</v>
      </c>
      <c r="F72" s="66">
        <v>0</v>
      </c>
      <c r="G72" s="66">
        <v>0</v>
      </c>
    </row>
    <row r="73" spans="1:7" x14ac:dyDescent="0.3">
      <c r="A73" s="68">
        <v>88</v>
      </c>
      <c r="B73" s="65">
        <v>0</v>
      </c>
      <c r="C73" s="65">
        <v>0</v>
      </c>
      <c r="D73" s="65">
        <f>M_Nodes!B73*-9.81</f>
        <v>-22743.504000000001</v>
      </c>
      <c r="E73" s="66">
        <v>0</v>
      </c>
      <c r="F73" s="66">
        <v>31841</v>
      </c>
      <c r="G73" s="66">
        <v>0</v>
      </c>
    </row>
    <row r="74" spans="1:7" x14ac:dyDescent="0.3">
      <c r="A74" s="68">
        <v>89</v>
      </c>
      <c r="B74" s="65">
        <v>0</v>
      </c>
      <c r="C74" s="65">
        <v>0</v>
      </c>
      <c r="D74" s="65">
        <f>M_Nodes!B74*-9.81</f>
        <v>-27885.905999999999</v>
      </c>
      <c r="E74" s="66">
        <v>0</v>
      </c>
      <c r="F74" s="66">
        <v>39040</v>
      </c>
      <c r="G74" s="66">
        <v>0</v>
      </c>
    </row>
    <row r="75" spans="1:7" x14ac:dyDescent="0.3">
      <c r="A75" s="68">
        <v>91</v>
      </c>
      <c r="B75" s="65">
        <v>0</v>
      </c>
      <c r="C75" s="65">
        <v>0</v>
      </c>
      <c r="D75" s="65">
        <f>M_Nodes!B75*-9.81</f>
        <v>-47599.101000000002</v>
      </c>
      <c r="E75" s="66">
        <v>44267</v>
      </c>
      <c r="F75" s="66">
        <v>0</v>
      </c>
      <c r="G75" s="66">
        <v>0</v>
      </c>
    </row>
    <row r="76" spans="1:7" x14ac:dyDescent="0.3">
      <c r="A76" s="68">
        <v>93</v>
      </c>
      <c r="B76" s="65">
        <v>0</v>
      </c>
      <c r="C76" s="65">
        <v>0</v>
      </c>
      <c r="D76" s="65">
        <f>M_Nodes!B76*-9.81</f>
        <v>-31678.452000000001</v>
      </c>
      <c r="E76" s="66">
        <v>-1584</v>
      </c>
      <c r="F76" s="66">
        <v>0</v>
      </c>
      <c r="G76" s="66">
        <v>0</v>
      </c>
    </row>
    <row r="77" spans="1:7" x14ac:dyDescent="0.3">
      <c r="A77" s="68">
        <v>94</v>
      </c>
      <c r="B77" s="65">
        <v>0</v>
      </c>
      <c r="C77" s="65">
        <v>0</v>
      </c>
      <c r="D77" s="65">
        <f>M_Nodes!B77*-9.81</f>
        <v>-49151.043000000005</v>
      </c>
      <c r="E77" s="66">
        <v>45710</v>
      </c>
      <c r="F77" s="66">
        <v>0</v>
      </c>
      <c r="G77" s="66">
        <v>0</v>
      </c>
    </row>
    <row r="78" spans="1:7" x14ac:dyDescent="0.3">
      <c r="A78" s="68">
        <v>96</v>
      </c>
      <c r="B78" s="65">
        <v>0</v>
      </c>
      <c r="C78" s="65">
        <v>0</v>
      </c>
      <c r="D78" s="65">
        <f>M_Nodes!B78*-9.81</f>
        <v>-32711.445000000003</v>
      </c>
      <c r="E78" s="66">
        <v>-1636</v>
      </c>
      <c r="F78" s="66">
        <v>0</v>
      </c>
      <c r="G78" s="66">
        <v>0</v>
      </c>
    </row>
    <row r="79" spans="1:7" x14ac:dyDescent="0.3">
      <c r="A79" s="68">
        <v>100</v>
      </c>
      <c r="B79" s="65">
        <v>0</v>
      </c>
      <c r="C79" s="65">
        <v>0</v>
      </c>
      <c r="D79" s="65">
        <f>M_Nodes!B79*-9.81</f>
        <v>-5685.8760000000002</v>
      </c>
      <c r="E79" s="66">
        <v>0</v>
      </c>
      <c r="F79" s="66">
        <v>1990</v>
      </c>
      <c r="G79" s="66">
        <v>0</v>
      </c>
    </row>
    <row r="80" spans="1:7" x14ac:dyDescent="0.3">
      <c r="A80" s="68">
        <v>101</v>
      </c>
      <c r="B80" s="65">
        <v>0</v>
      </c>
      <c r="C80" s="65">
        <v>0</v>
      </c>
      <c r="D80" s="65">
        <f>M_Nodes!B80*-9.81</f>
        <v>-4697.0280000000002</v>
      </c>
      <c r="E80" s="66">
        <v>0</v>
      </c>
      <c r="F80" s="66">
        <v>1644</v>
      </c>
      <c r="G80" s="66">
        <v>0</v>
      </c>
    </row>
  </sheetData>
  <mergeCells count="1">
    <mergeCell ref="B3:C3"/>
  </mergeCells>
  <pageMargins left="0.7" right="0.7" top="0.78740157499999996" bottom="0.78740157499999996" header="0.3" footer="0.3"/>
  <pageSetup paperSize="9" orientation="portrait" r:id="rId1"/>
  <headerFooter>
    <oddHeader>&amp;LMaster Thesis 2023/2024&amp;CSt. Lawrence Parish House,
Petrinja, Croatia&amp;R&amp;G</oddHeader>
    <oddFooter>&amp;L&amp;A&amp;CModel: Initial state&amp;R&amp;P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1EAC-6E4D-445A-A190-B3F22C9332A7}">
  <sheetPr>
    <tabColor theme="6"/>
  </sheetPr>
  <dimension ref="A1:I66"/>
  <sheetViews>
    <sheetView view="pageLayout" zoomScale="55" zoomScaleNormal="85" zoomScalePageLayoutView="55" workbookViewId="0">
      <selection activeCell="H4" sqref="H4"/>
    </sheetView>
  </sheetViews>
  <sheetFormatPr baseColWidth="10" defaultColWidth="10.6640625" defaultRowHeight="14" x14ac:dyDescent="0.3"/>
  <cols>
    <col min="1" max="1" width="7.4140625" bestFit="1" customWidth="1"/>
    <col min="2" max="3" width="5.6640625" customWidth="1"/>
    <col min="4" max="4" width="15.4140625" bestFit="1" customWidth="1"/>
    <col min="5" max="5" width="9.08203125" bestFit="1" customWidth="1"/>
    <col min="6" max="6" width="9.5" customWidth="1"/>
    <col min="7" max="7" width="15.4140625" customWidth="1"/>
    <col min="8" max="8" width="13.9140625" bestFit="1" customWidth="1"/>
    <col min="9" max="9" width="12.1640625" bestFit="1" customWidth="1"/>
  </cols>
  <sheetData>
    <row r="1" spans="1:9" s="105" customFormat="1" ht="17" thickBot="1" x14ac:dyDescent="0.4">
      <c r="A1" s="102" t="s">
        <v>415</v>
      </c>
      <c r="B1" s="103"/>
      <c r="C1" s="104"/>
      <c r="D1" s="104"/>
      <c r="E1" s="103"/>
      <c r="F1" s="103"/>
      <c r="G1" s="103"/>
      <c r="H1" s="107"/>
      <c r="I1" s="107"/>
    </row>
    <row r="2" spans="1:9" x14ac:dyDescent="0.3">
      <c r="A2" s="61" t="s">
        <v>378</v>
      </c>
      <c r="D2" t="s">
        <v>379</v>
      </c>
    </row>
    <row r="3" spans="1:9" x14ac:dyDescent="0.3">
      <c r="A3" s="61" t="s">
        <v>375</v>
      </c>
      <c r="D3" s="57">
        <f ca="1">TODAY()</f>
        <v>45304</v>
      </c>
    </row>
    <row r="4" spans="1:9" x14ac:dyDescent="0.3">
      <c r="A4" s="61" t="s">
        <v>398</v>
      </c>
      <c r="D4" t="s">
        <v>416</v>
      </c>
    </row>
    <row r="5" spans="1:9" x14ac:dyDescent="0.3">
      <c r="A5" s="61" t="s">
        <v>377</v>
      </c>
      <c r="D5" t="s">
        <v>410</v>
      </c>
    </row>
    <row r="6" spans="1:9" s="6" customFormat="1" x14ac:dyDescent="0.3"/>
    <row r="7" spans="1:9" ht="30.5" thickBot="1" x14ac:dyDescent="0.35">
      <c r="A7" s="114" t="s">
        <v>305</v>
      </c>
      <c r="B7" s="106" t="s">
        <v>69</v>
      </c>
      <c r="C7" s="106" t="s">
        <v>70</v>
      </c>
      <c r="D7" s="106" t="s">
        <v>309</v>
      </c>
      <c r="E7" s="114" t="s">
        <v>307</v>
      </c>
      <c r="F7" s="106" t="s">
        <v>429</v>
      </c>
      <c r="G7" s="106" t="s">
        <v>310</v>
      </c>
      <c r="H7" s="106" t="s">
        <v>162</v>
      </c>
      <c r="I7" s="106" t="s">
        <v>311</v>
      </c>
    </row>
    <row r="8" spans="1:9" x14ac:dyDescent="0.3">
      <c r="A8" s="86" t="s">
        <v>306</v>
      </c>
      <c r="C8" s="6"/>
      <c r="D8" s="6"/>
      <c r="E8" s="6"/>
      <c r="F8" s="6"/>
      <c r="G8" s="6"/>
      <c r="H8" s="6"/>
      <c r="I8" s="6"/>
    </row>
    <row r="9" spans="1:9" x14ac:dyDescent="0.3">
      <c r="A9" s="68">
        <v>8</v>
      </c>
      <c r="B9" s="67">
        <v>0</v>
      </c>
      <c r="C9" s="20">
        <v>0</v>
      </c>
      <c r="D9" s="20">
        <v>1.0957030000000001</v>
      </c>
      <c r="E9" s="20">
        <f>B9*C9+D9</f>
        <v>1.0957030000000001</v>
      </c>
      <c r="F9" s="20" t="s">
        <v>313</v>
      </c>
      <c r="G9" s="20">
        <f>IF(F9="Vault",'B_Surface loads'!$G$19,'B_Surface loads'!$G$31)</f>
        <v>373.37385321100919</v>
      </c>
      <c r="H9" s="20">
        <f>E9*G9</f>
        <v>409.10685108486246</v>
      </c>
      <c r="I9" s="53">
        <f>-H9*9.81</f>
        <v>-4013.338209142501</v>
      </c>
    </row>
    <row r="10" spans="1:9" x14ac:dyDescent="0.3">
      <c r="A10" s="68">
        <v>9</v>
      </c>
      <c r="B10" s="67">
        <v>3.4</v>
      </c>
      <c r="C10" s="20">
        <v>0.95</v>
      </c>
      <c r="D10" s="22"/>
      <c r="E10" s="20">
        <f t="shared" ref="E10:E35" si="0">B10*C10+D10</f>
        <v>3.23</v>
      </c>
      <c r="F10" s="20" t="s">
        <v>313</v>
      </c>
      <c r="G10" s="20">
        <f>IF(F10="Vault",'B_Surface loads'!$G$19,'B_Surface loads'!$G$31)</f>
        <v>373.37385321100919</v>
      </c>
      <c r="H10" s="20">
        <f t="shared" ref="H10:H57" si="1">E10*G10</f>
        <v>1205.9975458715596</v>
      </c>
      <c r="I10" s="53">
        <f t="shared" ref="I10:I57" si="2">-H10*9.81</f>
        <v>-11830.835925000001</v>
      </c>
    </row>
    <row r="11" spans="1:9" x14ac:dyDescent="0.3">
      <c r="A11" s="68">
        <v>11</v>
      </c>
      <c r="B11" s="67">
        <v>2.6</v>
      </c>
      <c r="C11" s="20">
        <v>0.75</v>
      </c>
      <c r="D11" s="20">
        <v>0.796875</v>
      </c>
      <c r="E11" s="20">
        <f t="shared" si="0"/>
        <v>2.7468750000000002</v>
      </c>
      <c r="F11" s="20" t="s">
        <v>313</v>
      </c>
      <c r="G11" s="20">
        <f>IF(F11="Vault",'B_Surface loads'!$G$19,'B_Surface loads'!$G$31)</f>
        <v>373.37385321100919</v>
      </c>
      <c r="H11" s="20">
        <f t="shared" si="1"/>
        <v>1025.6113030389909</v>
      </c>
      <c r="I11" s="53">
        <f t="shared" si="2"/>
        <v>-10061.2468828125</v>
      </c>
    </row>
    <row r="12" spans="1:9" x14ac:dyDescent="0.3">
      <c r="A12" s="68">
        <v>12</v>
      </c>
      <c r="B12" s="67">
        <v>2.6</v>
      </c>
      <c r="C12" s="20">
        <v>0.75</v>
      </c>
      <c r="D12" s="22"/>
      <c r="E12" s="20">
        <f t="shared" si="0"/>
        <v>1.9500000000000002</v>
      </c>
      <c r="F12" s="20" t="s">
        <v>313</v>
      </c>
      <c r="G12" s="20">
        <f>IF(F12="Vault",'B_Surface loads'!$G$19,'B_Surface loads'!$G$31)</f>
        <v>373.37385321100919</v>
      </c>
      <c r="H12" s="20">
        <f t="shared" si="1"/>
        <v>728.07901376146799</v>
      </c>
      <c r="I12" s="53">
        <f t="shared" si="2"/>
        <v>-7142.4551250000013</v>
      </c>
    </row>
    <row r="13" spans="1:9" x14ac:dyDescent="0.3">
      <c r="A13" s="68">
        <v>22</v>
      </c>
      <c r="B13" s="67">
        <v>2.6</v>
      </c>
      <c r="C13" s="20">
        <v>2.1</v>
      </c>
      <c r="D13" s="22"/>
      <c r="E13" s="20">
        <f t="shared" si="0"/>
        <v>5.4600000000000009</v>
      </c>
      <c r="F13" s="20" t="s">
        <v>313</v>
      </c>
      <c r="G13" s="20">
        <f>IF(F13="Vault",'B_Surface loads'!$G$19,'B_Surface loads'!$G$31)</f>
        <v>373.37385321100919</v>
      </c>
      <c r="H13" s="20">
        <f t="shared" si="1"/>
        <v>2038.6212385321105</v>
      </c>
      <c r="I13" s="53">
        <f t="shared" si="2"/>
        <v>-19998.874350000006</v>
      </c>
    </row>
    <row r="14" spans="1:9" x14ac:dyDescent="0.3">
      <c r="A14" s="68">
        <v>23</v>
      </c>
      <c r="B14" s="67">
        <v>2.6</v>
      </c>
      <c r="C14" s="20">
        <v>2.1</v>
      </c>
      <c r="D14" s="22"/>
      <c r="E14" s="20">
        <f t="shared" si="0"/>
        <v>5.4600000000000009</v>
      </c>
      <c r="F14" s="20" t="s">
        <v>313</v>
      </c>
      <c r="G14" s="20">
        <f>IF(F14="Vault",'B_Surface loads'!$G$19,'B_Surface loads'!$G$31)</f>
        <v>373.37385321100919</v>
      </c>
      <c r="H14" s="20">
        <f t="shared" si="1"/>
        <v>2038.6212385321105</v>
      </c>
      <c r="I14" s="53">
        <f t="shared" si="2"/>
        <v>-19998.874350000006</v>
      </c>
    </row>
    <row r="15" spans="1:9" x14ac:dyDescent="0.3">
      <c r="A15" s="68">
        <v>32</v>
      </c>
      <c r="B15" s="67">
        <v>3.85</v>
      </c>
      <c r="C15" s="20">
        <v>2.8</v>
      </c>
      <c r="D15" s="22"/>
      <c r="E15" s="20">
        <f t="shared" si="0"/>
        <v>10.78</v>
      </c>
      <c r="F15" s="20" t="s">
        <v>313</v>
      </c>
      <c r="G15" s="20">
        <f>IF(F15="Vault",'B_Surface loads'!$G$19,'B_Surface loads'!$G$31)</f>
        <v>373.37385321100919</v>
      </c>
      <c r="H15" s="20">
        <f t="shared" si="1"/>
        <v>4024.9701376146791</v>
      </c>
      <c r="I15" s="53">
        <f t="shared" si="2"/>
        <v>-39484.957050000005</v>
      </c>
    </row>
    <row r="16" spans="1:9" x14ac:dyDescent="0.3">
      <c r="A16" s="68">
        <v>33</v>
      </c>
      <c r="B16" s="67">
        <v>3.4</v>
      </c>
      <c r="C16" s="20">
        <v>2.8</v>
      </c>
      <c r="D16" s="22"/>
      <c r="E16" s="20">
        <f t="shared" si="0"/>
        <v>9.52</v>
      </c>
      <c r="F16" s="20" t="s">
        <v>313</v>
      </c>
      <c r="G16" s="20">
        <f>IF(F16="Vault",'B_Surface loads'!$G$19,'B_Surface loads'!$G$31)</f>
        <v>373.37385321100919</v>
      </c>
      <c r="H16" s="20">
        <f t="shared" si="1"/>
        <v>3554.5190825688073</v>
      </c>
      <c r="I16" s="53">
        <f t="shared" si="2"/>
        <v>-34869.832200000004</v>
      </c>
    </row>
    <row r="17" spans="1:9" x14ac:dyDescent="0.3">
      <c r="A17" s="68">
        <v>34</v>
      </c>
      <c r="B17" s="67">
        <v>4.75</v>
      </c>
      <c r="C17" s="20">
        <v>2.8</v>
      </c>
      <c r="D17" s="22"/>
      <c r="E17" s="20">
        <f t="shared" si="0"/>
        <v>13.299999999999999</v>
      </c>
      <c r="F17" s="20" t="s">
        <v>313</v>
      </c>
      <c r="G17" s="20">
        <f>IF(F17="Vault",'B_Surface loads'!$G$19,'B_Surface loads'!$G$31)</f>
        <v>373.37385321100919</v>
      </c>
      <c r="H17" s="20">
        <f t="shared" si="1"/>
        <v>4965.8722477064221</v>
      </c>
      <c r="I17" s="53">
        <f t="shared" si="2"/>
        <v>-48715.206750000005</v>
      </c>
    </row>
    <row r="18" spans="1:9" x14ac:dyDescent="0.3">
      <c r="A18" s="68">
        <v>35</v>
      </c>
      <c r="B18" s="67">
        <v>2.6</v>
      </c>
      <c r="C18" s="20">
        <v>2.8</v>
      </c>
      <c r="D18" s="22"/>
      <c r="E18" s="20">
        <f t="shared" si="0"/>
        <v>7.2799999999999994</v>
      </c>
      <c r="F18" s="20" t="s">
        <v>313</v>
      </c>
      <c r="G18" s="20">
        <f>IF(F18="Vault",'B_Surface loads'!$G$19,'B_Surface loads'!$G$31)</f>
        <v>373.37385321100919</v>
      </c>
      <c r="H18" s="20">
        <f t="shared" si="1"/>
        <v>2718.1616513761469</v>
      </c>
      <c r="I18" s="53">
        <f t="shared" si="2"/>
        <v>-26665.165800000002</v>
      </c>
    </row>
    <row r="19" spans="1:9" x14ac:dyDescent="0.3">
      <c r="A19" s="68">
        <v>41</v>
      </c>
      <c r="B19" s="67">
        <v>2.6</v>
      </c>
      <c r="C19" s="20">
        <v>2.85</v>
      </c>
      <c r="D19" s="22"/>
      <c r="E19" s="20">
        <f t="shared" si="0"/>
        <v>7.41</v>
      </c>
      <c r="F19" s="20" t="s">
        <v>313</v>
      </c>
      <c r="G19" s="20">
        <f>IF(F19="Vault",'B_Surface loads'!$G$19,'B_Surface loads'!$G$31)</f>
        <v>373.37385321100919</v>
      </c>
      <c r="H19" s="20">
        <f t="shared" si="1"/>
        <v>2766.7002522935782</v>
      </c>
      <c r="I19" s="53">
        <f t="shared" si="2"/>
        <v>-27141.329475000002</v>
      </c>
    </row>
    <row r="20" spans="1:9" x14ac:dyDescent="0.3">
      <c r="A20" s="68">
        <v>46</v>
      </c>
      <c r="B20" s="67">
        <v>4.75</v>
      </c>
      <c r="C20" s="20">
        <v>2.8</v>
      </c>
      <c r="D20" s="20">
        <v>1.3983049999999999</v>
      </c>
      <c r="E20" s="20">
        <f t="shared" si="0"/>
        <v>14.698305</v>
      </c>
      <c r="F20" s="20" t="s">
        <v>313</v>
      </c>
      <c r="G20" s="20">
        <f>IF(F20="Vault",'B_Surface loads'!$G$19,'B_Surface loads'!$G$31)</f>
        <v>373.37385321100919</v>
      </c>
      <c r="H20" s="20">
        <f t="shared" si="1"/>
        <v>5487.9627735206423</v>
      </c>
      <c r="I20" s="53">
        <f t="shared" si="2"/>
        <v>-53836.914808237503</v>
      </c>
    </row>
    <row r="21" spans="1:9" x14ac:dyDescent="0.3">
      <c r="A21" s="68">
        <v>47</v>
      </c>
      <c r="B21" s="67">
        <v>3.4</v>
      </c>
      <c r="C21" s="20">
        <v>2.8</v>
      </c>
      <c r="D21" s="22"/>
      <c r="E21" s="20">
        <f t="shared" si="0"/>
        <v>9.52</v>
      </c>
      <c r="F21" s="20" t="s">
        <v>313</v>
      </c>
      <c r="G21" s="20">
        <f>IF(F21="Vault",'B_Surface loads'!$G$19,'B_Surface loads'!$G$31)</f>
        <v>373.37385321100919</v>
      </c>
      <c r="H21" s="20">
        <f t="shared" si="1"/>
        <v>3554.5190825688073</v>
      </c>
      <c r="I21" s="53">
        <f t="shared" si="2"/>
        <v>-34869.832200000004</v>
      </c>
    </row>
    <row r="22" spans="1:9" x14ac:dyDescent="0.3">
      <c r="A22" s="68">
        <v>48</v>
      </c>
      <c r="B22" s="67">
        <v>3.85</v>
      </c>
      <c r="C22" s="20">
        <v>2.8</v>
      </c>
      <c r="D22" s="22"/>
      <c r="E22" s="20">
        <f t="shared" si="0"/>
        <v>10.78</v>
      </c>
      <c r="F22" s="20" t="s">
        <v>313</v>
      </c>
      <c r="G22" s="20">
        <f>IF(F22="Vault",'B_Surface loads'!$G$19,'B_Surface loads'!$G$31)</f>
        <v>373.37385321100919</v>
      </c>
      <c r="H22" s="20">
        <f t="shared" si="1"/>
        <v>4024.9701376146791</v>
      </c>
      <c r="I22" s="53">
        <f t="shared" si="2"/>
        <v>-39484.957050000005</v>
      </c>
    </row>
    <row r="23" spans="1:9" x14ac:dyDescent="0.3">
      <c r="A23" s="68">
        <v>53</v>
      </c>
      <c r="B23" s="67">
        <v>3.85</v>
      </c>
      <c r="C23" s="20">
        <v>2.1</v>
      </c>
      <c r="D23" s="20">
        <v>0.734375</v>
      </c>
      <c r="E23" s="20">
        <f t="shared" si="0"/>
        <v>8.8193750000000009</v>
      </c>
      <c r="F23" s="20" t="s">
        <v>313</v>
      </c>
      <c r="G23" s="20">
        <f>IF(F23="Vault",'B_Surface loads'!$G$19,'B_Surface loads'!$G$31)</f>
        <v>373.37385321100919</v>
      </c>
      <c r="H23" s="20">
        <f t="shared" si="1"/>
        <v>3292.9240266628444</v>
      </c>
      <c r="I23" s="53">
        <f t="shared" si="2"/>
        <v>-32303.584701562504</v>
      </c>
    </row>
    <row r="24" spans="1:9" x14ac:dyDescent="0.3">
      <c r="A24" s="68">
        <v>56</v>
      </c>
      <c r="B24" s="67">
        <v>1.05</v>
      </c>
      <c r="C24" s="20">
        <v>3.9</v>
      </c>
      <c r="D24" s="20">
        <v>1.019531</v>
      </c>
      <c r="E24" s="20">
        <f t="shared" si="0"/>
        <v>5.1145309999999995</v>
      </c>
      <c r="F24" s="20" t="s">
        <v>313</v>
      </c>
      <c r="G24" s="20">
        <f>IF(F24="Vault",'B_Surface loads'!$G$19,'B_Surface loads'!$G$31)</f>
        <v>373.37385321100919</v>
      </c>
      <c r="H24" s="20">
        <f t="shared" si="1"/>
        <v>1909.6321468371559</v>
      </c>
      <c r="I24" s="53">
        <f t="shared" si="2"/>
        <v>-18733.491360472501</v>
      </c>
    </row>
    <row r="25" spans="1:9" x14ac:dyDescent="0.3">
      <c r="A25" s="68">
        <v>62</v>
      </c>
      <c r="B25" s="67">
        <v>2.6</v>
      </c>
      <c r="C25" s="20">
        <v>2.85</v>
      </c>
      <c r="D25" s="22"/>
      <c r="E25" s="20">
        <f t="shared" si="0"/>
        <v>7.41</v>
      </c>
      <c r="F25" s="20" t="s">
        <v>313</v>
      </c>
      <c r="G25" s="20">
        <f>IF(F25="Vault",'B_Surface loads'!$G$19,'B_Surface loads'!$G$31)</f>
        <v>373.37385321100919</v>
      </c>
      <c r="H25" s="20">
        <f t="shared" si="1"/>
        <v>2766.7002522935782</v>
      </c>
      <c r="I25" s="53">
        <f t="shared" si="2"/>
        <v>-27141.329475000002</v>
      </c>
    </row>
    <row r="26" spans="1:9" x14ac:dyDescent="0.3">
      <c r="A26" s="68">
        <v>63</v>
      </c>
      <c r="B26" s="67">
        <v>2.6</v>
      </c>
      <c r="C26" s="20">
        <v>2.85</v>
      </c>
      <c r="D26" s="20">
        <v>2.5752950000000001</v>
      </c>
      <c r="E26" s="20">
        <f t="shared" si="0"/>
        <v>9.9852950000000007</v>
      </c>
      <c r="F26" s="20" t="s">
        <v>313</v>
      </c>
      <c r="G26" s="20">
        <f>IF(F26="Vault",'B_Surface loads'!$G$19,'B_Surface loads'!$G$31)</f>
        <v>373.37385321100919</v>
      </c>
      <c r="H26" s="20">
        <f t="shared" si="1"/>
        <v>3728.2480695986242</v>
      </c>
      <c r="I26" s="53">
        <f t="shared" si="2"/>
        <v>-36574.113562762504</v>
      </c>
    </row>
    <row r="27" spans="1:9" x14ac:dyDescent="0.3">
      <c r="A27" s="68">
        <v>64</v>
      </c>
      <c r="B27" s="67">
        <v>0</v>
      </c>
      <c r="C27" s="20">
        <v>0</v>
      </c>
      <c r="D27" s="20">
        <v>0.58593700000000004</v>
      </c>
      <c r="E27" s="20">
        <f t="shared" si="0"/>
        <v>0.58593700000000004</v>
      </c>
      <c r="F27" s="20" t="s">
        <v>313</v>
      </c>
      <c r="G27" s="20">
        <f>IF(F27="Vault",'B_Surface loads'!$G$19,'B_Surface loads'!$G$31)</f>
        <v>373.37385321100919</v>
      </c>
      <c r="H27" s="20">
        <f t="shared" si="1"/>
        <v>218.7735554288991</v>
      </c>
      <c r="I27" s="53">
        <f t="shared" si="2"/>
        <v>-2146.1685787575002</v>
      </c>
    </row>
    <row r="28" spans="1:9" x14ac:dyDescent="0.3">
      <c r="A28" s="68">
        <v>73</v>
      </c>
      <c r="B28" s="67">
        <v>2.6</v>
      </c>
      <c r="C28" s="20">
        <v>0.75</v>
      </c>
      <c r="D28" s="22"/>
      <c r="E28" s="20">
        <f t="shared" si="0"/>
        <v>1.9500000000000002</v>
      </c>
      <c r="F28" s="20" t="s">
        <v>313</v>
      </c>
      <c r="G28" s="20">
        <f>IF(F28="Vault",'B_Surface loads'!$G$19,'B_Surface loads'!$G$31)</f>
        <v>373.37385321100919</v>
      </c>
      <c r="H28" s="20">
        <f t="shared" si="1"/>
        <v>728.07901376146799</v>
      </c>
      <c r="I28" s="53">
        <f t="shared" si="2"/>
        <v>-7142.4551250000013</v>
      </c>
    </row>
    <row r="29" spans="1:9" x14ac:dyDescent="0.3">
      <c r="A29" s="68">
        <v>74</v>
      </c>
      <c r="B29" s="67">
        <v>2.6</v>
      </c>
      <c r="C29" s="20">
        <v>2.8</v>
      </c>
      <c r="D29" s="22"/>
      <c r="E29" s="20">
        <f t="shared" si="0"/>
        <v>7.2799999999999994</v>
      </c>
      <c r="F29" s="20" t="s">
        <v>313</v>
      </c>
      <c r="G29" s="20">
        <f>IF(F29="Vault",'B_Surface loads'!$G$19,'B_Surface loads'!$G$31)</f>
        <v>373.37385321100919</v>
      </c>
      <c r="H29" s="20">
        <f t="shared" si="1"/>
        <v>2718.1616513761469</v>
      </c>
      <c r="I29" s="53">
        <f t="shared" si="2"/>
        <v>-26665.165800000002</v>
      </c>
    </row>
    <row r="30" spans="1:9" x14ac:dyDescent="0.3">
      <c r="A30" s="68">
        <v>75</v>
      </c>
      <c r="B30" s="67">
        <v>2.6</v>
      </c>
      <c r="C30" s="20">
        <v>2.8</v>
      </c>
      <c r="D30" s="22"/>
      <c r="E30" s="20">
        <f t="shared" si="0"/>
        <v>7.2799999999999994</v>
      </c>
      <c r="F30" s="20" t="s">
        <v>313</v>
      </c>
      <c r="G30" s="20">
        <f>IF(F30="Vault",'B_Surface loads'!$G$19,'B_Surface loads'!$G$31)</f>
        <v>373.37385321100919</v>
      </c>
      <c r="H30" s="20">
        <f t="shared" si="1"/>
        <v>2718.1616513761469</v>
      </c>
      <c r="I30" s="53">
        <f t="shared" si="2"/>
        <v>-26665.165800000002</v>
      </c>
    </row>
    <row r="31" spans="1:9" x14ac:dyDescent="0.3">
      <c r="A31" s="68">
        <v>89</v>
      </c>
      <c r="B31" s="67">
        <v>2.6</v>
      </c>
      <c r="C31" s="20">
        <v>2.8</v>
      </c>
      <c r="D31" s="22"/>
      <c r="E31" s="20">
        <f t="shared" si="0"/>
        <v>7.2799999999999994</v>
      </c>
      <c r="F31" s="20" t="s">
        <v>313</v>
      </c>
      <c r="G31" s="20">
        <f>IF(F31="Vault",'B_Surface loads'!$G$19,'B_Surface loads'!$G$31)</f>
        <v>373.37385321100919</v>
      </c>
      <c r="H31" s="20">
        <f t="shared" si="1"/>
        <v>2718.1616513761469</v>
      </c>
      <c r="I31" s="53">
        <f t="shared" si="2"/>
        <v>-26665.165800000002</v>
      </c>
    </row>
    <row r="32" spans="1:9" x14ac:dyDescent="0.3">
      <c r="A32" s="68">
        <v>94</v>
      </c>
      <c r="B32" s="67">
        <v>2.6</v>
      </c>
      <c r="C32" s="20">
        <v>2.85</v>
      </c>
      <c r="D32" s="20">
        <v>2.5752950000000001</v>
      </c>
      <c r="E32" s="20">
        <f t="shared" si="0"/>
        <v>9.9852950000000007</v>
      </c>
      <c r="F32" s="20" t="s">
        <v>313</v>
      </c>
      <c r="G32" s="20">
        <f>IF(F32="Vault",'B_Surface loads'!$G$19,'B_Surface loads'!$G$31)</f>
        <v>373.37385321100919</v>
      </c>
      <c r="H32" s="20">
        <f t="shared" si="1"/>
        <v>3728.2480695986242</v>
      </c>
      <c r="I32" s="53">
        <f t="shared" si="2"/>
        <v>-36574.113562762504</v>
      </c>
    </row>
    <row r="33" spans="1:9" x14ac:dyDescent="0.3">
      <c r="A33" s="68">
        <v>95</v>
      </c>
      <c r="B33" s="67">
        <v>1.25</v>
      </c>
      <c r="C33" s="20">
        <v>4.8</v>
      </c>
      <c r="D33" s="20">
        <v>1.019531</v>
      </c>
      <c r="E33" s="20">
        <f t="shared" si="0"/>
        <v>7.0195309999999997</v>
      </c>
      <c r="F33" s="20" t="s">
        <v>313</v>
      </c>
      <c r="G33" s="20">
        <f>IF(F33="Vault",'B_Surface loads'!$G$19,'B_Surface loads'!$G$31)</f>
        <v>373.37385321100919</v>
      </c>
      <c r="H33" s="20">
        <f t="shared" si="1"/>
        <v>2620.9093372041284</v>
      </c>
      <c r="I33" s="53">
        <f t="shared" si="2"/>
        <v>-25711.120597972502</v>
      </c>
    </row>
    <row r="34" spans="1:9" x14ac:dyDescent="0.3">
      <c r="A34" s="68">
        <v>96</v>
      </c>
      <c r="B34" s="67">
        <v>3.85</v>
      </c>
      <c r="C34" s="20">
        <v>2.1</v>
      </c>
      <c r="D34" s="22"/>
      <c r="E34" s="20">
        <f t="shared" si="0"/>
        <v>8.0850000000000009</v>
      </c>
      <c r="F34" s="20" t="s">
        <v>313</v>
      </c>
      <c r="G34" s="20">
        <f>IF(F34="Vault",'B_Surface loads'!$G$19,'B_Surface loads'!$G$31)</f>
        <v>373.37385321100919</v>
      </c>
      <c r="H34" s="20">
        <f t="shared" si="1"/>
        <v>3018.7276032110094</v>
      </c>
      <c r="I34" s="53">
        <f t="shared" si="2"/>
        <v>-29613.717787500005</v>
      </c>
    </row>
    <row r="35" spans="1:9" x14ac:dyDescent="0.3">
      <c r="A35" s="68">
        <v>101</v>
      </c>
      <c r="B35" s="67">
        <v>2.6</v>
      </c>
      <c r="C35" s="20">
        <v>0.75</v>
      </c>
      <c r="D35" s="22"/>
      <c r="E35" s="20">
        <f t="shared" si="0"/>
        <v>1.9500000000000002</v>
      </c>
      <c r="F35" s="20" t="s">
        <v>313</v>
      </c>
      <c r="G35" s="20">
        <f>IF(F35="Vault",'B_Surface loads'!$G$19,'B_Surface loads'!$G$31)</f>
        <v>373.37385321100919</v>
      </c>
      <c r="H35" s="20">
        <f t="shared" si="1"/>
        <v>728.07901376146799</v>
      </c>
      <c r="I35" s="53">
        <f t="shared" si="2"/>
        <v>-7142.4551250000013</v>
      </c>
    </row>
    <row r="36" spans="1:9" x14ac:dyDescent="0.3">
      <c r="C36" s="6"/>
      <c r="D36" s="6"/>
      <c r="E36" s="6"/>
      <c r="F36" s="6"/>
      <c r="G36" s="22"/>
      <c r="H36" s="22"/>
      <c r="I36" s="52"/>
    </row>
    <row r="37" spans="1:9" x14ac:dyDescent="0.3">
      <c r="A37" s="86" t="s">
        <v>308</v>
      </c>
      <c r="G37" s="22"/>
      <c r="H37" s="22"/>
      <c r="I37" s="52"/>
    </row>
    <row r="38" spans="1:9" x14ac:dyDescent="0.3">
      <c r="A38" s="66">
        <v>1</v>
      </c>
      <c r="B38" s="67">
        <v>2.6</v>
      </c>
      <c r="C38" s="20">
        <v>2.85</v>
      </c>
      <c r="E38" s="20">
        <f>B38*C38+D38</f>
        <v>7.41</v>
      </c>
      <c r="F38" s="20" t="s">
        <v>312</v>
      </c>
      <c r="G38" s="20">
        <f>IF(F38="Vault",'B_Surface loads'!$G$19,'B_Surface loads'!$G$31)</f>
        <v>328.23649337410802</v>
      </c>
      <c r="H38" s="20">
        <f t="shared" si="1"/>
        <v>2432.2324159021405</v>
      </c>
      <c r="I38" s="53">
        <f t="shared" si="2"/>
        <v>-23860.2</v>
      </c>
    </row>
    <row r="39" spans="1:9" x14ac:dyDescent="0.3">
      <c r="A39" s="66">
        <v>2</v>
      </c>
      <c r="B39" s="67">
        <v>2.6</v>
      </c>
      <c r="C39" s="20">
        <v>2.85</v>
      </c>
      <c r="E39" s="20">
        <f t="shared" ref="E39:E57" si="3">B39*C39+D39</f>
        <v>7.41</v>
      </c>
      <c r="F39" s="20" t="s">
        <v>312</v>
      </c>
      <c r="G39" s="20">
        <f>IF(F39="Vault",'B_Surface loads'!$G$19,'B_Surface loads'!$G$31)</f>
        <v>328.23649337410802</v>
      </c>
      <c r="H39" s="20">
        <f t="shared" si="1"/>
        <v>2432.2324159021405</v>
      </c>
      <c r="I39" s="53">
        <f t="shared" si="2"/>
        <v>-23860.2</v>
      </c>
    </row>
    <row r="40" spans="1:9" x14ac:dyDescent="0.3">
      <c r="A40" s="66">
        <v>3</v>
      </c>
      <c r="B40" s="67">
        <v>1.25</v>
      </c>
      <c r="C40" s="67">
        <v>2.85</v>
      </c>
      <c r="D40" s="65">
        <v>2.4375</v>
      </c>
      <c r="E40" s="20">
        <f t="shared" si="3"/>
        <v>6</v>
      </c>
      <c r="F40" s="20" t="s">
        <v>312</v>
      </c>
      <c r="G40" s="20">
        <f>IF(F40="Vault",'B_Surface loads'!$G$19,'B_Surface loads'!$G$31)</f>
        <v>328.23649337410802</v>
      </c>
      <c r="H40" s="20">
        <f t="shared" si="1"/>
        <v>1969.4189602446481</v>
      </c>
      <c r="I40" s="53">
        <f t="shared" si="2"/>
        <v>-19320</v>
      </c>
    </row>
    <row r="41" spans="1:9" x14ac:dyDescent="0.3">
      <c r="A41" s="66">
        <v>5</v>
      </c>
      <c r="B41" s="67">
        <v>1.25</v>
      </c>
      <c r="C41" s="67">
        <v>2.85</v>
      </c>
      <c r="D41" s="65">
        <f>E42</f>
        <v>1.9500000000000002</v>
      </c>
      <c r="E41" s="20">
        <f t="shared" si="3"/>
        <v>5.5125000000000002</v>
      </c>
      <c r="F41" s="20" t="s">
        <v>312</v>
      </c>
      <c r="G41" s="20">
        <f>IF(F41="Vault",'B_Surface loads'!$G$19,'B_Surface loads'!$G$31)</f>
        <v>328.23649337410802</v>
      </c>
      <c r="H41" s="20">
        <f t="shared" si="1"/>
        <v>1809.4036697247705</v>
      </c>
      <c r="I41" s="53">
        <f t="shared" si="2"/>
        <v>-17750.25</v>
      </c>
    </row>
    <row r="42" spans="1:9" x14ac:dyDescent="0.3">
      <c r="A42" s="66">
        <v>6</v>
      </c>
      <c r="B42" s="67">
        <v>2.6</v>
      </c>
      <c r="C42" s="66">
        <v>0.75</v>
      </c>
      <c r="E42" s="20">
        <f t="shared" si="3"/>
        <v>1.9500000000000002</v>
      </c>
      <c r="F42" s="20" t="s">
        <v>312</v>
      </c>
      <c r="G42" s="20">
        <f>IF(F42="Vault",'B_Surface loads'!$G$19,'B_Surface loads'!$G$31)</f>
        <v>328.23649337410802</v>
      </c>
      <c r="H42" s="20">
        <f t="shared" si="1"/>
        <v>640.06116207951072</v>
      </c>
      <c r="I42" s="53">
        <f t="shared" si="2"/>
        <v>-6279.0000000000009</v>
      </c>
    </row>
    <row r="43" spans="1:9" x14ac:dyDescent="0.3">
      <c r="A43" s="66">
        <v>28</v>
      </c>
      <c r="B43" s="67">
        <v>3.85</v>
      </c>
      <c r="C43" s="20">
        <v>2.8</v>
      </c>
      <c r="E43" s="20">
        <f t="shared" si="3"/>
        <v>10.78</v>
      </c>
      <c r="F43" s="20" t="s">
        <v>312</v>
      </c>
      <c r="G43" s="20">
        <f>IF(F43="Vault",'B_Surface loads'!$G$19,'B_Surface loads'!$G$31)</f>
        <v>328.23649337410802</v>
      </c>
      <c r="H43" s="20">
        <f t="shared" si="1"/>
        <v>3538.3893985728841</v>
      </c>
      <c r="I43" s="53">
        <f t="shared" si="2"/>
        <v>-34711.599999999999</v>
      </c>
    </row>
    <row r="44" spans="1:9" x14ac:dyDescent="0.3">
      <c r="A44" s="66">
        <v>29</v>
      </c>
      <c r="B44" s="67">
        <v>3.4</v>
      </c>
      <c r="C44" s="20">
        <v>2.8</v>
      </c>
      <c r="E44" s="20">
        <f t="shared" si="3"/>
        <v>9.52</v>
      </c>
      <c r="F44" s="20" t="s">
        <v>312</v>
      </c>
      <c r="G44" s="20">
        <f>IF(F44="Vault",'B_Surface loads'!$G$19,'B_Surface loads'!$G$31)</f>
        <v>328.23649337410802</v>
      </c>
      <c r="H44" s="20">
        <f t="shared" si="1"/>
        <v>3124.8114169215082</v>
      </c>
      <c r="I44" s="53">
        <f t="shared" si="2"/>
        <v>-30654.399999999998</v>
      </c>
    </row>
    <row r="45" spans="1:9" x14ac:dyDescent="0.3">
      <c r="A45" s="66">
        <v>30</v>
      </c>
      <c r="B45" s="67">
        <v>4.75</v>
      </c>
      <c r="C45" s="20">
        <v>2.8</v>
      </c>
      <c r="E45" s="20">
        <f t="shared" si="3"/>
        <v>13.299999999999999</v>
      </c>
      <c r="F45" s="20" t="s">
        <v>312</v>
      </c>
      <c r="G45" s="20">
        <f>IF(F45="Vault",'B_Surface loads'!$G$19,'B_Surface loads'!$G$31)</f>
        <v>328.23649337410802</v>
      </c>
      <c r="H45" s="20">
        <f t="shared" si="1"/>
        <v>4365.5453618756364</v>
      </c>
      <c r="I45" s="53">
        <f t="shared" si="2"/>
        <v>-42825.999999999993</v>
      </c>
    </row>
    <row r="46" spans="1:9" x14ac:dyDescent="0.3">
      <c r="A46" s="66">
        <v>31</v>
      </c>
      <c r="B46" s="67">
        <v>2.6</v>
      </c>
      <c r="C46" s="20">
        <v>2.8</v>
      </c>
      <c r="E46" s="20">
        <f t="shared" si="3"/>
        <v>7.2799999999999994</v>
      </c>
      <c r="F46" s="20" t="s">
        <v>312</v>
      </c>
      <c r="G46" s="20">
        <f>IF(F46="Vault",'B_Surface loads'!$G$19,'B_Surface loads'!$G$31)</f>
        <v>328.23649337410802</v>
      </c>
      <c r="H46" s="20">
        <f t="shared" si="1"/>
        <v>2389.5616717635062</v>
      </c>
      <c r="I46" s="53">
        <f t="shared" si="2"/>
        <v>-23441.599999999999</v>
      </c>
    </row>
    <row r="47" spans="1:9" x14ac:dyDescent="0.3">
      <c r="A47" s="66">
        <v>43</v>
      </c>
      <c r="B47" s="67">
        <v>4.75</v>
      </c>
      <c r="C47" s="20">
        <v>2.8</v>
      </c>
      <c r="E47" s="20">
        <f t="shared" si="3"/>
        <v>13.299999999999999</v>
      </c>
      <c r="F47" s="20" t="s">
        <v>312</v>
      </c>
      <c r="G47" s="20">
        <f>IF(F47="Vault",'B_Surface loads'!$G$19,'B_Surface loads'!$G$31)</f>
        <v>328.23649337410802</v>
      </c>
      <c r="H47" s="20">
        <f t="shared" si="1"/>
        <v>4365.5453618756364</v>
      </c>
      <c r="I47" s="53">
        <f t="shared" si="2"/>
        <v>-42825.999999999993</v>
      </c>
    </row>
    <row r="48" spans="1:9" x14ac:dyDescent="0.3">
      <c r="A48" s="66">
        <v>44</v>
      </c>
      <c r="B48" s="67">
        <v>3.4</v>
      </c>
      <c r="C48" s="20">
        <v>2.8</v>
      </c>
      <c r="D48" s="67">
        <f>E40</f>
        <v>6</v>
      </c>
      <c r="E48" s="20">
        <f t="shared" si="3"/>
        <v>15.52</v>
      </c>
      <c r="F48" s="20" t="s">
        <v>312</v>
      </c>
      <c r="G48" s="20">
        <f>IF(F48="Vault",'B_Surface loads'!$G$19,'B_Surface loads'!$G$31)</f>
        <v>328.23649337410802</v>
      </c>
      <c r="H48" s="20">
        <f t="shared" si="1"/>
        <v>5094.2303771661564</v>
      </c>
      <c r="I48" s="53">
        <f t="shared" si="2"/>
        <v>-49974.399999999994</v>
      </c>
    </row>
    <row r="49" spans="1:9" x14ac:dyDescent="0.3">
      <c r="A49" s="66">
        <v>45</v>
      </c>
      <c r="B49" s="67">
        <v>3.85</v>
      </c>
      <c r="C49" s="20">
        <v>4.9000000000000004</v>
      </c>
      <c r="D49" s="67">
        <f>E41</f>
        <v>5.5125000000000002</v>
      </c>
      <c r="E49" s="20">
        <f t="shared" si="3"/>
        <v>24.377500000000001</v>
      </c>
      <c r="F49" s="20" t="s">
        <v>312</v>
      </c>
      <c r="G49" s="20">
        <f>IF(F49="Vault",'B_Surface loads'!$G$19,'B_Surface loads'!$G$31)</f>
        <v>328.23649337410802</v>
      </c>
      <c r="H49" s="20">
        <f t="shared" si="1"/>
        <v>8001.5851172273187</v>
      </c>
      <c r="I49" s="53">
        <f t="shared" si="2"/>
        <v>-78495.55</v>
      </c>
    </row>
    <row r="50" spans="1:9" x14ac:dyDescent="0.3">
      <c r="A50" s="66">
        <v>55</v>
      </c>
      <c r="B50" s="67">
        <v>1.1000000000000001</v>
      </c>
      <c r="C50" s="20">
        <v>3.85</v>
      </c>
      <c r="D50" s="67">
        <f>2.15*0.95</f>
        <v>2.0425</v>
      </c>
      <c r="E50" s="20">
        <f t="shared" si="3"/>
        <v>6.2774999999999999</v>
      </c>
      <c r="F50" s="20" t="s">
        <v>313</v>
      </c>
      <c r="G50" s="20">
        <f>IF(F50="Vault",'B_Surface loads'!$G$19,'B_Surface loads'!$G$31)</f>
        <v>373.37385321100919</v>
      </c>
      <c r="H50" s="20">
        <f t="shared" si="1"/>
        <v>2343.8543635321103</v>
      </c>
      <c r="I50" s="53">
        <f t="shared" si="2"/>
        <v>-22993.211306250003</v>
      </c>
    </row>
    <row r="51" spans="1:9" x14ac:dyDescent="0.3">
      <c r="A51" s="66">
        <v>59</v>
      </c>
      <c r="B51" s="67">
        <v>1.05</v>
      </c>
      <c r="C51" s="20">
        <v>0.95</v>
      </c>
      <c r="D51" s="1"/>
      <c r="E51" s="20">
        <f t="shared" si="3"/>
        <v>0.99749999999999994</v>
      </c>
      <c r="F51" s="20" t="s">
        <v>312</v>
      </c>
      <c r="G51" s="20">
        <f>IF(F51="Vault",'B_Surface loads'!$G$19,'B_Surface loads'!$G$31)</f>
        <v>328.23649337410802</v>
      </c>
      <c r="H51" s="20">
        <f t="shared" si="1"/>
        <v>327.41590214067276</v>
      </c>
      <c r="I51" s="53">
        <f t="shared" si="2"/>
        <v>-3211.95</v>
      </c>
    </row>
    <row r="52" spans="1:9" x14ac:dyDescent="0.3">
      <c r="A52" s="66">
        <v>70</v>
      </c>
      <c r="B52" s="67">
        <v>2.6</v>
      </c>
      <c r="C52" s="20">
        <v>2.85</v>
      </c>
      <c r="E52" s="20">
        <f t="shared" si="3"/>
        <v>7.41</v>
      </c>
      <c r="F52" s="20" t="s">
        <v>312</v>
      </c>
      <c r="G52" s="20">
        <f>IF(F52="Vault",'B_Surface loads'!$G$19,'B_Surface loads'!$G$31)</f>
        <v>328.23649337410802</v>
      </c>
      <c r="H52" s="20">
        <f t="shared" si="1"/>
        <v>2432.2324159021405</v>
      </c>
      <c r="I52" s="53">
        <f t="shared" si="2"/>
        <v>-23860.2</v>
      </c>
    </row>
    <row r="53" spans="1:9" x14ac:dyDescent="0.3">
      <c r="A53" s="66">
        <v>71</v>
      </c>
      <c r="B53" s="67">
        <v>2.6</v>
      </c>
      <c r="C53" s="20">
        <v>4.9000000000000004</v>
      </c>
      <c r="E53" s="20">
        <f t="shared" si="3"/>
        <v>12.740000000000002</v>
      </c>
      <c r="F53" s="20" t="s">
        <v>312</v>
      </c>
      <c r="G53" s="20">
        <f>IF(F53="Vault",'B_Surface loads'!$G$19,'B_Surface loads'!$G$31)</f>
        <v>328.23649337410802</v>
      </c>
      <c r="H53" s="20">
        <f t="shared" si="1"/>
        <v>4181.7329255861368</v>
      </c>
      <c r="I53" s="53">
        <f t="shared" si="2"/>
        <v>-41022.800000000003</v>
      </c>
    </row>
    <row r="54" spans="1:9" x14ac:dyDescent="0.3">
      <c r="A54" s="66">
        <v>72</v>
      </c>
      <c r="B54" s="67">
        <v>2.6</v>
      </c>
      <c r="C54" s="20">
        <v>2.8</v>
      </c>
      <c r="E54" s="20">
        <f t="shared" si="3"/>
        <v>7.2799999999999994</v>
      </c>
      <c r="F54" s="20" t="s">
        <v>312</v>
      </c>
      <c r="G54" s="20">
        <f>IF(F54="Vault",'B_Surface loads'!$G$19,'B_Surface loads'!$G$31)</f>
        <v>328.23649337410802</v>
      </c>
      <c r="H54" s="20">
        <f t="shared" si="1"/>
        <v>2389.5616717635062</v>
      </c>
      <c r="I54" s="53">
        <f t="shared" si="2"/>
        <v>-23441.599999999999</v>
      </c>
    </row>
    <row r="55" spans="1:9" x14ac:dyDescent="0.3">
      <c r="A55" s="66">
        <v>88</v>
      </c>
      <c r="B55" s="66">
        <v>2.6</v>
      </c>
      <c r="C55" s="66">
        <v>5.7</v>
      </c>
      <c r="E55" s="20">
        <f t="shared" si="3"/>
        <v>14.82</v>
      </c>
      <c r="F55" s="20" t="s">
        <v>312</v>
      </c>
      <c r="G55" s="20">
        <f>IF(F55="Vault",'B_Surface loads'!$G$19,'B_Surface loads'!$G$31)</f>
        <v>328.23649337410802</v>
      </c>
      <c r="H55" s="20">
        <f t="shared" si="1"/>
        <v>4864.4648318042809</v>
      </c>
      <c r="I55" s="53">
        <f t="shared" si="2"/>
        <v>-47720.4</v>
      </c>
    </row>
    <row r="56" spans="1:9" x14ac:dyDescent="0.3">
      <c r="A56" s="66">
        <v>92</v>
      </c>
      <c r="B56" s="67">
        <v>1.1000000000000001</v>
      </c>
      <c r="C56" s="20">
        <v>3.85</v>
      </c>
      <c r="E56" s="20">
        <f t="shared" si="3"/>
        <v>4.2350000000000003</v>
      </c>
      <c r="F56" s="20" t="s">
        <v>313</v>
      </c>
      <c r="G56" s="20">
        <f>IF(F56="Vault",'B_Surface loads'!$G$19,'B_Surface loads'!$G$31)</f>
        <v>373.37385321100919</v>
      </c>
      <c r="H56" s="20">
        <f t="shared" si="1"/>
        <v>1581.2382683486239</v>
      </c>
      <c r="I56" s="53">
        <f t="shared" si="2"/>
        <v>-15511.947412500002</v>
      </c>
    </row>
    <row r="57" spans="1:9" x14ac:dyDescent="0.3">
      <c r="A57" s="66">
        <v>100</v>
      </c>
      <c r="B57" s="67">
        <v>2.6</v>
      </c>
      <c r="C57" s="20">
        <v>2.85</v>
      </c>
      <c r="E57" s="20">
        <f t="shared" si="3"/>
        <v>7.41</v>
      </c>
      <c r="F57" s="20" t="s">
        <v>312</v>
      </c>
      <c r="G57" s="20">
        <f>IF(F57="Vault",'B_Surface loads'!$G$19,'B_Surface loads'!$G$31)</f>
        <v>328.23649337410802</v>
      </c>
      <c r="H57" s="20">
        <f t="shared" si="1"/>
        <v>2432.2324159021405</v>
      </c>
      <c r="I57" s="53">
        <f t="shared" si="2"/>
        <v>-23860.2</v>
      </c>
    </row>
    <row r="58" spans="1:9" x14ac:dyDescent="0.3">
      <c r="E58" s="22"/>
    </row>
    <row r="59" spans="1:9" x14ac:dyDescent="0.3">
      <c r="E59" s="22"/>
      <c r="H59" s="29"/>
    </row>
    <row r="60" spans="1:9" x14ac:dyDescent="0.3">
      <c r="E60" s="22"/>
      <c r="F60" s="22"/>
      <c r="H60" s="29"/>
    </row>
    <row r="61" spans="1:9" x14ac:dyDescent="0.3">
      <c r="E61" s="22"/>
      <c r="H61" s="29"/>
    </row>
    <row r="62" spans="1:9" x14ac:dyDescent="0.3">
      <c r="E62" s="22"/>
      <c r="H62" s="42"/>
    </row>
    <row r="63" spans="1:9" x14ac:dyDescent="0.3">
      <c r="E63" s="22"/>
    </row>
    <row r="64" spans="1:9" x14ac:dyDescent="0.3">
      <c r="E64" s="22"/>
    </row>
    <row r="65" spans="5:5" x14ac:dyDescent="0.3">
      <c r="E65" s="22"/>
    </row>
    <row r="66" spans="5:5" x14ac:dyDescent="0.3">
      <c r="E66" s="22"/>
    </row>
  </sheetData>
  <pageMargins left="0.7" right="0.7" top="0.78740157499999996" bottom="0.78740157499999996" header="0.3" footer="0.3"/>
  <pageSetup paperSize="9" scale="85" orientation="portrait" r:id="rId1"/>
  <headerFooter>
    <oddHeader>&amp;LMaster Thesis 2023/2024&amp;CSt. Lawrence Parish House,
Petrinja, Croatia&amp;R&amp;G</oddHeader>
    <oddFooter>&amp;L&amp;A&amp;CModel: Initial state&amp;R&amp;P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E321-29CA-4DA2-AC56-341FF0C1F634}">
  <sheetPr>
    <tabColor theme="6"/>
  </sheetPr>
  <dimension ref="A1:F61"/>
  <sheetViews>
    <sheetView view="pageLayout" topLeftCell="A12" zoomScaleNormal="85" workbookViewId="0">
      <selection activeCell="F4" sqref="F4"/>
    </sheetView>
  </sheetViews>
  <sheetFormatPr baseColWidth="10" defaultColWidth="10.6640625" defaultRowHeight="14" x14ac:dyDescent="0.3"/>
  <cols>
    <col min="1" max="1" width="20.1640625" bestFit="1" customWidth="1"/>
    <col min="2" max="2" width="14" bestFit="1" customWidth="1"/>
    <col min="3" max="3" width="12.1640625" bestFit="1" customWidth="1"/>
    <col min="4" max="4" width="2.08203125" bestFit="1" customWidth="1"/>
    <col min="5" max="5" width="11.25" customWidth="1"/>
  </cols>
  <sheetData>
    <row r="1" spans="1:6" s="105" customFormat="1" ht="17" thickBot="1" x14ac:dyDescent="0.4">
      <c r="A1" s="102" t="s">
        <v>418</v>
      </c>
      <c r="B1" s="103"/>
      <c r="C1" s="104"/>
      <c r="D1" s="104"/>
      <c r="E1" s="103"/>
    </row>
    <row r="2" spans="1:6" x14ac:dyDescent="0.3">
      <c r="A2" s="61" t="s">
        <v>378</v>
      </c>
      <c r="B2" t="s">
        <v>379</v>
      </c>
    </row>
    <row r="3" spans="1:6" x14ac:dyDescent="0.3">
      <c r="A3" s="61" t="s">
        <v>375</v>
      </c>
      <c r="B3" s="57">
        <f ca="1">TODAY()</f>
        <v>45304</v>
      </c>
    </row>
    <row r="4" spans="1:6" x14ac:dyDescent="0.3">
      <c r="A4" s="61" t="s">
        <v>398</v>
      </c>
      <c r="B4" t="s">
        <v>416</v>
      </c>
    </row>
    <row r="5" spans="1:6" x14ac:dyDescent="0.3">
      <c r="A5" s="61" t="s">
        <v>377</v>
      </c>
      <c r="B5" t="s">
        <v>410</v>
      </c>
    </row>
    <row r="6" spans="1:6" s="6" customFormat="1" x14ac:dyDescent="0.3"/>
    <row r="7" spans="1:6" ht="39" customHeight="1" thickBot="1" x14ac:dyDescent="0.35">
      <c r="A7" s="114" t="s">
        <v>305</v>
      </c>
      <c r="B7" s="114" t="s">
        <v>162</v>
      </c>
      <c r="C7" s="114" t="s">
        <v>311</v>
      </c>
      <c r="D7" s="114"/>
      <c r="E7" s="114"/>
      <c r="F7" s="114"/>
    </row>
    <row r="8" spans="1:6" x14ac:dyDescent="0.3">
      <c r="A8" s="66">
        <v>1</v>
      </c>
      <c r="B8" s="21">
        <f ca="1">_xlfn.XLOOKUP(L_Roof!A8,M_Roof!A:A,M_Roof!E:E)</f>
        <v>709.67584097859321</v>
      </c>
      <c r="C8" s="53">
        <f ca="1">(-9.81)*B8</f>
        <v>-6961.92</v>
      </c>
    </row>
    <row r="9" spans="1:6" x14ac:dyDescent="0.3">
      <c r="A9" s="66">
        <v>2</v>
      </c>
      <c r="B9" s="21">
        <f ca="1">_xlfn.XLOOKUP(L_Roof!A9,M_Roof!A:A,M_Roof!E:E)</f>
        <v>2350.9724770642206</v>
      </c>
      <c r="C9" s="53">
        <f t="shared" ref="C9:C28" ca="1" si="0">(-9.81)*B9</f>
        <v>-23063.040000000005</v>
      </c>
    </row>
    <row r="10" spans="1:6" x14ac:dyDescent="0.3">
      <c r="A10" s="66">
        <v>3</v>
      </c>
      <c r="B10" s="21">
        <f ca="1">_xlfn.XLOOKUP(L_Roof!A10,M_Roof!A:A,M_Roof!E:E)</f>
        <v>1863.2415902140674</v>
      </c>
      <c r="C10" s="53">
        <f t="shared" ca="1" si="0"/>
        <v>-18278.400000000001</v>
      </c>
    </row>
    <row r="11" spans="1:6" x14ac:dyDescent="0.3">
      <c r="A11" s="66">
        <v>5</v>
      </c>
      <c r="B11" s="21">
        <f ca="1">_xlfn.XLOOKUP(L_Roof!A11,M_Roof!A:A,M_Roof!E:E)</f>
        <v>2348.2324159021405</v>
      </c>
      <c r="C11" s="53">
        <f t="shared" ca="1" si="0"/>
        <v>-23036.16</v>
      </c>
    </row>
    <row r="12" spans="1:6" x14ac:dyDescent="0.3">
      <c r="A12" s="66">
        <v>6</v>
      </c>
      <c r="B12" s="21">
        <f ca="1">_xlfn.XLOOKUP(L_Roof!A12,M_Roof!A:A,M_Roof!E:E)</f>
        <v>708.30581039755327</v>
      </c>
      <c r="C12" s="53">
        <f t="shared" ca="1" si="0"/>
        <v>-6948.4799999999977</v>
      </c>
    </row>
    <row r="13" spans="1:6" x14ac:dyDescent="0.3">
      <c r="A13" s="66">
        <v>61</v>
      </c>
      <c r="B13" s="21">
        <f ca="1">_xlfn.XLOOKUP(L_Roof!A13,M_Roof!A:A,M_Roof!E:E)</f>
        <v>194.64220183486242</v>
      </c>
      <c r="C13" s="53">
        <f t="shared" ca="1" si="0"/>
        <v>-1909.4400000000005</v>
      </c>
    </row>
    <row r="14" spans="1:6" x14ac:dyDescent="0.3">
      <c r="A14" s="66">
        <v>19</v>
      </c>
      <c r="B14" s="21">
        <f ca="1">_xlfn.XLOOKUP(L_Roof!A14,M_Roof!A:A,M_Roof!E:E)</f>
        <v>1457.9082568807344</v>
      </c>
      <c r="C14" s="53">
        <f t="shared" ca="1" si="0"/>
        <v>-14302.080000000005</v>
      </c>
    </row>
    <row r="15" spans="1:6" x14ac:dyDescent="0.3">
      <c r="A15" s="66">
        <v>20</v>
      </c>
      <c r="B15" s="21">
        <f ca="1">_xlfn.XLOOKUP(L_Roof!A15,M_Roof!A:A,M_Roof!E:E)</f>
        <v>2498.5443425076455</v>
      </c>
      <c r="C15" s="53">
        <f t="shared" ca="1" si="0"/>
        <v>-24510.720000000005</v>
      </c>
    </row>
    <row r="16" spans="1:6" x14ac:dyDescent="0.3">
      <c r="A16" s="66">
        <v>21</v>
      </c>
      <c r="B16" s="21">
        <f ca="1">_xlfn.XLOOKUP(L_Roof!A16,M_Roof!A:A,M_Roof!E:E)</f>
        <v>714.96024464831805</v>
      </c>
      <c r="C16" s="53">
        <f t="shared" ca="1" si="0"/>
        <v>-7013.76</v>
      </c>
    </row>
    <row r="17" spans="1:4" x14ac:dyDescent="0.3">
      <c r="A17" s="66">
        <v>31</v>
      </c>
      <c r="B17" s="21">
        <f ca="1">_xlfn.XLOOKUP(L_Roof!A17,M_Roof!A:A,M_Roof!E:E)</f>
        <v>709.67584097859321</v>
      </c>
      <c r="C17" s="53">
        <f t="shared" ca="1" si="0"/>
        <v>-6961.92</v>
      </c>
    </row>
    <row r="18" spans="1:4" x14ac:dyDescent="0.3">
      <c r="A18" s="66">
        <v>30</v>
      </c>
      <c r="B18" s="21">
        <f ca="1">_xlfn.XLOOKUP(L_Roof!A18,M_Roof!A:A,M_Roof!E:E)</f>
        <v>2597.5779816513764</v>
      </c>
      <c r="C18" s="53">
        <f t="shared" ca="1" si="0"/>
        <v>-25482.240000000005</v>
      </c>
    </row>
    <row r="19" spans="1:4" x14ac:dyDescent="0.3">
      <c r="A19" s="66">
        <v>29</v>
      </c>
      <c r="B19" s="21">
        <f ca="1">_xlfn.XLOOKUP(L_Roof!A19,M_Roof!A:A,M_Roof!E:E)</f>
        <v>1863.2415902140674</v>
      </c>
      <c r="C19" s="53">
        <f t="shared" ca="1" si="0"/>
        <v>-18278.400000000001</v>
      </c>
    </row>
    <row r="20" spans="1:4" x14ac:dyDescent="0.3">
      <c r="A20" s="66">
        <v>28</v>
      </c>
      <c r="B20" s="21">
        <f ca="1">_xlfn.XLOOKUP(L_Roof!A20,M_Roof!A:A,M_Roof!E:E)</f>
        <v>2101.6269113149842</v>
      </c>
      <c r="C20" s="53">
        <f t="shared" ca="1" si="0"/>
        <v>-20616.959999999995</v>
      </c>
    </row>
    <row r="21" spans="1:4" x14ac:dyDescent="0.3">
      <c r="A21" s="66">
        <v>72</v>
      </c>
      <c r="B21" s="21">
        <f ca="1">_xlfn.XLOOKUP(L_Roof!A21,M_Roof!A:A,M_Roof!E:E)</f>
        <v>708.30581039755327</v>
      </c>
      <c r="C21" s="53">
        <f t="shared" ca="1" si="0"/>
        <v>-6948.4799999999977</v>
      </c>
    </row>
    <row r="22" spans="1:4" x14ac:dyDescent="0.3">
      <c r="A22" s="66">
        <v>58</v>
      </c>
      <c r="B22" s="21">
        <f ca="1">_xlfn.XLOOKUP(L_Roof!A22,M_Roof!A:A,M_Roof!E:E)</f>
        <v>1101.459321828396</v>
      </c>
      <c r="C22" s="53">
        <f t="shared" ca="1" si="0"/>
        <v>-10805.315947136565</v>
      </c>
    </row>
    <row r="23" spans="1:4" x14ac:dyDescent="0.3">
      <c r="A23" s="66">
        <v>40</v>
      </c>
      <c r="B23" s="21">
        <f ca="1">_xlfn.XLOOKUP(L_Roof!A23,M_Roof!A:A,M_Roof!E:E)</f>
        <v>4363.5474006116201</v>
      </c>
      <c r="C23" s="53">
        <f t="shared" ca="1" si="0"/>
        <v>-42806.399999999994</v>
      </c>
    </row>
    <row r="24" spans="1:4" x14ac:dyDescent="0.3">
      <c r="A24" s="66">
        <v>81</v>
      </c>
      <c r="B24" s="21">
        <f ca="1">_xlfn.XLOOKUP(L_Roof!A24,M_Roof!A:A,M_Roof!E:E)</f>
        <v>1080.3143784774143</v>
      </c>
      <c r="C24" s="53">
        <f t="shared" ca="1" si="0"/>
        <v>-10597.884052863434</v>
      </c>
    </row>
    <row r="25" spans="1:4" x14ac:dyDescent="0.3">
      <c r="A25" s="66">
        <v>43</v>
      </c>
      <c r="B25" s="21">
        <f>_xlfn.XLOOKUP(L_Roof!A25,M_Roof!A:A,M_Roof!E:E)</f>
        <v>3288.0733944954122</v>
      </c>
      <c r="C25" s="53">
        <f t="shared" si="0"/>
        <v>-32255.999999999996</v>
      </c>
    </row>
    <row r="26" spans="1:4" x14ac:dyDescent="0.3">
      <c r="A26" s="66">
        <v>45</v>
      </c>
      <c r="B26" s="21">
        <f>_xlfn.XLOOKUP(L_Roof!A26,M_Roof!A:A,M_Roof!E:E)</f>
        <v>3288.0733944954122</v>
      </c>
      <c r="C26" s="53">
        <f t="shared" si="0"/>
        <v>-32255.999999999996</v>
      </c>
    </row>
    <row r="27" spans="1:4" x14ac:dyDescent="0.3">
      <c r="A27" s="66">
        <v>91</v>
      </c>
      <c r="B27" s="21">
        <f>_xlfn.XLOOKUP(L_Roof!A27,M_Roof!A:A,M_Roof!E:E)</f>
        <v>3288.0733944954122</v>
      </c>
      <c r="C27" s="53">
        <f t="shared" si="0"/>
        <v>-32255.999999999996</v>
      </c>
    </row>
    <row r="28" spans="1:4" x14ac:dyDescent="0.3">
      <c r="A28" s="66">
        <v>93</v>
      </c>
      <c r="B28" s="21">
        <f>_xlfn.XLOOKUP(L_Roof!A28,M_Roof!A:A,M_Roof!E:E)</f>
        <v>3288.0733944954122</v>
      </c>
      <c r="C28" s="53">
        <f t="shared" si="0"/>
        <v>-32255.999999999996</v>
      </c>
    </row>
    <row r="29" spans="1:4" x14ac:dyDescent="0.3">
      <c r="A29" s="29"/>
      <c r="B29" s="22"/>
      <c r="C29" s="23"/>
    </row>
    <row r="30" spans="1:4" x14ac:dyDescent="0.3">
      <c r="A30" s="86" t="s">
        <v>316</v>
      </c>
      <c r="B30" s="86"/>
      <c r="C30" s="117">
        <f ca="1">SUM(C8:C28)</f>
        <v>-397545.60000000003</v>
      </c>
      <c r="D30" s="86" t="s">
        <v>239</v>
      </c>
    </row>
    <row r="31" spans="1:4" x14ac:dyDescent="0.3">
      <c r="A31" s="22"/>
      <c r="C31" s="29"/>
    </row>
    <row r="32" spans="1:4" x14ac:dyDescent="0.3">
      <c r="C32" s="29"/>
    </row>
    <row r="33" spans="2:4" x14ac:dyDescent="0.3">
      <c r="C33" s="42"/>
    </row>
    <row r="34" spans="2:4" x14ac:dyDescent="0.3">
      <c r="B34" s="22"/>
      <c r="C34" s="23"/>
    </row>
    <row r="35" spans="2:4" x14ac:dyDescent="0.3">
      <c r="B35" s="22"/>
      <c r="C35" s="23"/>
    </row>
    <row r="36" spans="2:4" x14ac:dyDescent="0.3">
      <c r="B36" s="22"/>
      <c r="C36" s="23"/>
      <c r="D36" t="s">
        <v>304</v>
      </c>
    </row>
    <row r="37" spans="2:4" x14ac:dyDescent="0.3">
      <c r="B37" s="22"/>
      <c r="C37" s="23"/>
    </row>
    <row r="38" spans="2:4" x14ac:dyDescent="0.3">
      <c r="B38" s="22"/>
      <c r="C38" s="23"/>
    </row>
    <row r="39" spans="2:4" x14ac:dyDescent="0.3">
      <c r="B39" s="22"/>
      <c r="C39" s="23"/>
    </row>
    <row r="40" spans="2:4" x14ac:dyDescent="0.3">
      <c r="B40" s="22"/>
      <c r="C40" s="23"/>
    </row>
    <row r="41" spans="2:4" x14ac:dyDescent="0.3">
      <c r="B41" s="22"/>
      <c r="C41" s="23"/>
    </row>
    <row r="42" spans="2:4" x14ac:dyDescent="0.3">
      <c r="B42" s="22"/>
      <c r="C42" s="23"/>
    </row>
    <row r="43" spans="2:4" x14ac:dyDescent="0.3">
      <c r="B43" s="22"/>
      <c r="C43" s="23"/>
    </row>
    <row r="44" spans="2:4" x14ac:dyDescent="0.3">
      <c r="B44" s="22"/>
      <c r="C44" s="23"/>
    </row>
    <row r="45" spans="2:4" x14ac:dyDescent="0.3">
      <c r="B45" s="22"/>
      <c r="C45" s="23"/>
    </row>
    <row r="46" spans="2:4" x14ac:dyDescent="0.3">
      <c r="B46" s="22"/>
      <c r="C46" s="23"/>
    </row>
    <row r="47" spans="2:4" x14ac:dyDescent="0.3">
      <c r="B47" s="22"/>
      <c r="C47" s="23"/>
    </row>
    <row r="48" spans="2:4" x14ac:dyDescent="0.3">
      <c r="B48" s="22"/>
      <c r="C48" s="23"/>
    </row>
    <row r="49" spans="2:5" x14ac:dyDescent="0.3">
      <c r="B49" s="22"/>
      <c r="C49" s="23"/>
    </row>
    <row r="50" spans="2:5" x14ac:dyDescent="0.3">
      <c r="B50" s="22"/>
      <c r="C50" s="23"/>
    </row>
    <row r="51" spans="2:5" x14ac:dyDescent="0.3">
      <c r="B51" s="22"/>
      <c r="C51" s="23"/>
    </row>
    <row r="52" spans="2:5" x14ac:dyDescent="0.3">
      <c r="B52" s="22"/>
      <c r="C52" s="23"/>
    </row>
    <row r="53" spans="2:5" x14ac:dyDescent="0.3">
      <c r="E53" s="22"/>
    </row>
    <row r="54" spans="2:5" x14ac:dyDescent="0.3">
      <c r="E54" s="22"/>
    </row>
    <row r="55" spans="2:5" x14ac:dyDescent="0.3">
      <c r="E55" s="22"/>
    </row>
    <row r="56" spans="2:5" x14ac:dyDescent="0.3">
      <c r="E56" s="22"/>
    </row>
    <row r="57" spans="2:5" x14ac:dyDescent="0.3">
      <c r="E57" s="22"/>
    </row>
    <row r="58" spans="2:5" x14ac:dyDescent="0.3">
      <c r="E58" s="22"/>
    </row>
    <row r="59" spans="2:5" x14ac:dyDescent="0.3">
      <c r="E59" s="22"/>
    </row>
    <row r="60" spans="2:5" x14ac:dyDescent="0.3">
      <c r="E60" s="22"/>
    </row>
    <row r="61" spans="2:5" x14ac:dyDescent="0.3">
      <c r="E61" s="22"/>
    </row>
  </sheetData>
  <pageMargins left="0.7" right="0.7" top="0.78740157499999996" bottom="0.78740157499999996" header="0.3" footer="0.3"/>
  <pageSetup paperSize="9" orientation="portrait" r:id="rId1"/>
  <headerFooter>
    <oddHeader>&amp;LMaster Thesis 2023/2024&amp;CSt. Lawrence Parish House,
Petrinja, Croatia&amp;R&amp;G</oddHeader>
    <oddFooter>&amp;L&amp;A&amp;CModel: Initial state&amp;R&amp;P</oddFooter>
  </headerFooter>
  <legacyDrawingHF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DEFC-21A4-4663-A0B5-1F6571362991}">
  <sheetPr>
    <tabColor theme="6"/>
  </sheetPr>
  <dimension ref="A1:O57"/>
  <sheetViews>
    <sheetView view="pageLayout" topLeftCell="A9" zoomScaleNormal="85" workbookViewId="0">
      <selection activeCell="H3" sqref="H3"/>
    </sheetView>
  </sheetViews>
  <sheetFormatPr baseColWidth="10" defaultColWidth="10.6640625" defaultRowHeight="14" x14ac:dyDescent="0.3"/>
  <cols>
    <col min="1" max="1" width="6.75" customWidth="1"/>
    <col min="2" max="2" width="14.25" bestFit="1" customWidth="1"/>
    <col min="3" max="3" width="12.75" bestFit="1" customWidth="1"/>
    <col min="4" max="4" width="2.75" bestFit="1" customWidth="1"/>
    <col min="5" max="5" width="8.75" customWidth="1"/>
    <col min="6" max="6" width="16.4140625" customWidth="1"/>
    <col min="7" max="7" width="13.25" customWidth="1"/>
    <col min="8" max="8" width="16.83203125" customWidth="1"/>
    <col min="9" max="9" width="8.1640625" bestFit="1" customWidth="1"/>
    <col min="10" max="11" width="9.75" bestFit="1" customWidth="1"/>
    <col min="12" max="12" width="10.25" bestFit="1" customWidth="1"/>
    <col min="13" max="13" width="13.9140625" customWidth="1"/>
    <col min="14" max="14" width="17" bestFit="1" customWidth="1"/>
  </cols>
  <sheetData>
    <row r="1" spans="1:15" s="105" customFormat="1" ht="17" thickBot="1" x14ac:dyDescent="0.4">
      <c r="A1" s="102" t="s">
        <v>419</v>
      </c>
      <c r="B1" s="103"/>
      <c r="C1" s="104"/>
      <c r="D1" s="104"/>
      <c r="E1" s="103"/>
    </row>
    <row r="2" spans="1:15" x14ac:dyDescent="0.3">
      <c r="A2" s="61" t="s">
        <v>378</v>
      </c>
      <c r="C2" t="s">
        <v>379</v>
      </c>
    </row>
    <row r="3" spans="1:15" x14ac:dyDescent="0.3">
      <c r="A3" s="61" t="s">
        <v>375</v>
      </c>
      <c r="C3" s="57">
        <f ca="1">TODAY()</f>
        <v>45304</v>
      </c>
    </row>
    <row r="4" spans="1:15" x14ac:dyDescent="0.3">
      <c r="A4" s="61" t="s">
        <v>398</v>
      </c>
      <c r="C4" t="s">
        <v>416</v>
      </c>
    </row>
    <row r="5" spans="1:15" x14ac:dyDescent="0.3">
      <c r="A5" s="61" t="s">
        <v>377</v>
      </c>
      <c r="C5" t="s">
        <v>410</v>
      </c>
    </row>
    <row r="6" spans="1:15" s="6" customFormat="1" x14ac:dyDescent="0.3"/>
    <row r="7" spans="1:15" ht="39" customHeight="1" thickBot="1" x14ac:dyDescent="0.35">
      <c r="A7" s="114" t="s">
        <v>305</v>
      </c>
      <c r="B7" s="114" t="s">
        <v>162</v>
      </c>
      <c r="C7" s="114" t="s">
        <v>311</v>
      </c>
      <c r="D7" s="114"/>
      <c r="E7" s="114" t="s">
        <v>336</v>
      </c>
      <c r="F7" s="114"/>
      <c r="G7" s="114"/>
      <c r="H7" s="114"/>
      <c r="I7" s="114"/>
      <c r="J7" s="114"/>
      <c r="K7" s="114"/>
    </row>
    <row r="8" spans="1:15" x14ac:dyDescent="0.3">
      <c r="A8" s="66">
        <v>8</v>
      </c>
      <c r="B8" s="21">
        <f ca="1">_xlfn.XLOOKUP(A8,'M_Filling material'!D:D,'M_Filling material'!R:R,0)+_xlfn.XLOOKUP(A8,'M_Filling material'!E:E,'M_Filling material'!R:R,0)+_xlfn.XLOOKUP(A8,'M_Filling material'!F:F,'M_Filling material'!R:R,0)+_xlfn.XLOOKUP(A8,'M_Filling material'!G:G,'M_Filling material'!R:R,0)+_xlfn.XLOOKUP(A8,$H$10:$H$17,$F$10:$F$17,0)</f>
        <v>1397.6624573819061</v>
      </c>
      <c r="C8" s="53">
        <f ca="1">(-9.81)*B8</f>
        <v>-13711.0687069165</v>
      </c>
      <c r="O8" s="29"/>
    </row>
    <row r="9" spans="1:15" ht="14.5" thickBot="1" x14ac:dyDescent="0.35">
      <c r="A9" s="66">
        <v>11</v>
      </c>
      <c r="B9" s="21">
        <f ca="1">_xlfn.XLOOKUP(A9,'M_Filling material'!D:D,'M_Filling material'!R:R,0)+_xlfn.XLOOKUP(A9,'M_Filling material'!E:E,'M_Filling material'!R:R,0)+_xlfn.XLOOKUP(A9,'M_Filling material'!F:F,'M_Filling material'!R:R,0)+_xlfn.XLOOKUP(A9,'M_Filling material'!G:G,'M_Filling material'!R:R,0)+_xlfn.XLOOKUP(A9,$H$10:$H$17,$F$10:$F$17,0)</f>
        <v>966.76597392461122</v>
      </c>
      <c r="C9" s="53">
        <f t="shared" ref="C9:C31" ca="1" si="0">(-9.81)*B9</f>
        <v>-9483.9742042004364</v>
      </c>
      <c r="E9" s="114" t="s">
        <v>305</v>
      </c>
      <c r="F9" s="114" t="s">
        <v>162</v>
      </c>
      <c r="G9" s="114" t="s">
        <v>311</v>
      </c>
      <c r="H9" s="114" t="s">
        <v>337</v>
      </c>
    </row>
    <row r="10" spans="1:15" x14ac:dyDescent="0.3">
      <c r="A10" s="66">
        <v>12</v>
      </c>
      <c r="B10" s="21">
        <f ca="1">_xlfn.XLOOKUP(A10,'M_Filling material'!D:D,'M_Filling material'!R:R,0)+_xlfn.XLOOKUP(A10,'M_Filling material'!E:E,'M_Filling material'!R:R,0)+_xlfn.XLOOKUP(A10,'M_Filling material'!F:F,'M_Filling material'!R:R,0)+_xlfn.XLOOKUP(A10,'M_Filling material'!G:G,'M_Filling material'!R:R,0)+_xlfn.XLOOKUP(A10,$H$10:$H$17,$F$10:$F$17,0)</f>
        <v>370.01597392461127</v>
      </c>
      <c r="C10" s="53">
        <f t="shared" ca="1" si="0"/>
        <v>-3629.856704200437</v>
      </c>
      <c r="E10" s="66">
        <v>302</v>
      </c>
      <c r="F10" s="21">
        <v>0</v>
      </c>
      <c r="G10" s="53">
        <f t="shared" ref="G10:G17" si="1">(-9.81)*F10</f>
        <v>0</v>
      </c>
      <c r="H10" s="66">
        <v>94</v>
      </c>
    </row>
    <row r="11" spans="1:15" ht="14" customHeight="1" x14ac:dyDescent="0.3">
      <c r="A11" s="66">
        <v>22</v>
      </c>
      <c r="B11" s="21">
        <f ca="1">_xlfn.XLOOKUP(A11,'M_Filling material'!D:D,'M_Filling material'!R:R,0)+_xlfn.XLOOKUP(A11,'M_Filling material'!E:E,'M_Filling material'!R:R,0)+_xlfn.XLOOKUP(A11,'M_Filling material'!F:F,'M_Filling material'!R:R,0)+_xlfn.XLOOKUP(A11,'M_Filling material'!G:G,'M_Filling material'!R:R,0)+_xlfn.XLOOKUP(A11,$H$10:$H$17,$F$10:$F$17,0)</f>
        <v>2850.5516847441313</v>
      </c>
      <c r="C11" s="53">
        <f t="shared" ca="1" si="0"/>
        <v>-27963.912027339931</v>
      </c>
      <c r="E11" s="66">
        <v>303</v>
      </c>
      <c r="F11" s="21">
        <f ca="1">_xlfn.XLOOKUP(E11,'M_Filling material'!D:D,'M_Filling material'!R:R,0)+_xlfn.XLOOKUP(E11,'M_Filling material'!E:E,'M_Filling material'!R:R,0)+_xlfn.XLOOKUP(E11,'M_Filling material'!F:F,'M_Filling material'!R:R,0)+_xlfn.XLOOKUP(E11,'M_Filling material'!G:G,'M_Filling material'!R:R,0)</f>
        <v>394.20547954282512</v>
      </c>
      <c r="G11" s="53">
        <f t="shared" ca="1" si="1"/>
        <v>-3867.1557543151148</v>
      </c>
      <c r="H11" s="66">
        <v>95</v>
      </c>
    </row>
    <row r="12" spans="1:15" x14ac:dyDescent="0.3">
      <c r="A12" s="66">
        <v>23</v>
      </c>
      <c r="B12" s="21">
        <f ca="1">_xlfn.XLOOKUP(A12,'M_Filling material'!D:D,'M_Filling material'!R:R,0)+_xlfn.XLOOKUP(A12,'M_Filling material'!E:E,'M_Filling material'!R:R,0)+_xlfn.XLOOKUP(A12,'M_Filling material'!F:F,'M_Filling material'!R:R,0)+_xlfn.XLOOKUP(A12,'M_Filling material'!G:G,'M_Filling material'!R:R,0)+_xlfn.XLOOKUP(A12,$H$10:$H$17,$F$10:$F$17,0)</f>
        <v>2850.5516847441313</v>
      </c>
      <c r="C12" s="53">
        <f t="shared" ca="1" si="0"/>
        <v>-27963.912027339931</v>
      </c>
      <c r="E12" s="66">
        <v>304</v>
      </c>
      <c r="F12" s="21">
        <f ca="1">_xlfn.XLOOKUP(E12,'M_Filling material'!D:D,'M_Filling material'!R:R,0)+_xlfn.XLOOKUP(E12,'M_Filling material'!E:E,'M_Filling material'!R:R,0)+_xlfn.XLOOKUP(E12,'M_Filling material'!F:F,'M_Filling material'!R:R,0)+_xlfn.XLOOKUP(E12,'M_Filling material'!G:G,'M_Filling material'!R:R,0)</f>
        <v>394.20547954282512</v>
      </c>
      <c r="G12" s="53">
        <f t="shared" ca="1" si="1"/>
        <v>-3867.1557543151148</v>
      </c>
      <c r="H12" s="66">
        <v>96</v>
      </c>
    </row>
    <row r="13" spans="1:15" x14ac:dyDescent="0.3">
      <c r="A13" s="66">
        <v>32</v>
      </c>
      <c r="B13" s="21">
        <f ca="1">_xlfn.XLOOKUP(A13,'M_Filling material'!D:D,'M_Filling material'!R:R,0)+_xlfn.XLOOKUP(A13,'M_Filling material'!E:E,'M_Filling material'!R:R,0)+_xlfn.XLOOKUP(A13,'M_Filling material'!F:F,'M_Filling material'!R:R,0)+_xlfn.XLOOKUP(A13,'M_Filling material'!G:G,'M_Filling material'!R:R,0)+_xlfn.XLOOKUP(A13,$H$10:$H$17,$F$10:$F$17,0)</f>
        <v>5658.7533661034258</v>
      </c>
      <c r="C13" s="53">
        <f t="shared" ca="1" si="0"/>
        <v>-55512.370521474608</v>
      </c>
      <c r="E13" s="66">
        <v>305</v>
      </c>
      <c r="F13" s="21">
        <f ca="1">_xlfn.XLOOKUP(E13,'M_Filling material'!D:D,'M_Filling material'!R:R,0)+_xlfn.XLOOKUP(E13,'M_Filling material'!E:E,'M_Filling material'!R:R,0)+_xlfn.XLOOKUP(E13,'M_Filling material'!F:F,'M_Filling material'!R:R,0)+_xlfn.XLOOKUP(E13,'M_Filling material'!G:G,'M_Filling material'!R:R,0)</f>
        <v>837.04645738190607</v>
      </c>
      <c r="G13" s="53">
        <f t="shared" ca="1" si="1"/>
        <v>-8211.4257469164986</v>
      </c>
      <c r="H13" s="66">
        <v>8</v>
      </c>
    </row>
    <row r="14" spans="1:15" x14ac:dyDescent="0.3">
      <c r="A14" s="66">
        <v>33</v>
      </c>
      <c r="B14" s="21">
        <f ca="1">_xlfn.XLOOKUP(A14,'M_Filling material'!D:D,'M_Filling material'!R:R,0)+_xlfn.XLOOKUP(A14,'M_Filling material'!E:E,'M_Filling material'!R:R,0)+_xlfn.XLOOKUP(A14,'M_Filling material'!F:F,'M_Filling material'!R:R,0)+_xlfn.XLOOKUP(A14,'M_Filling material'!G:G,'M_Filling material'!R:R,0)+_xlfn.XLOOKUP(A14,$H$10:$H$17,$F$10:$F$17,0)</f>
        <v>5016.8869477840035</v>
      </c>
      <c r="C14" s="53">
        <f t="shared" ca="1" si="0"/>
        <v>-49215.66095776108</v>
      </c>
      <c r="E14" s="66">
        <v>306</v>
      </c>
      <c r="F14" s="21">
        <f ca="1">_xlfn.XLOOKUP(E14,'M_Filling material'!D:D,'M_Filling material'!R:R,0)+_xlfn.XLOOKUP(E14,'M_Filling material'!E:E,'M_Filling material'!R:R,0)+_xlfn.XLOOKUP(E14,'M_Filling material'!F:F,'M_Filling material'!R:R,0)+_xlfn.XLOOKUP(E14,'M_Filling material'!G:G,'M_Filling material'!R:R,0)</f>
        <v>1408.1904573819063</v>
      </c>
      <c r="G14" s="53">
        <f t="shared" ca="1" si="1"/>
        <v>-13814.348386916501</v>
      </c>
      <c r="H14" s="66">
        <v>56</v>
      </c>
    </row>
    <row r="15" spans="1:15" x14ac:dyDescent="0.3">
      <c r="A15" s="66">
        <v>34</v>
      </c>
      <c r="B15" s="21">
        <f ca="1">_xlfn.XLOOKUP(A15,'M_Filling material'!D:D,'M_Filling material'!R:R,0)+_xlfn.XLOOKUP(A15,'M_Filling material'!E:E,'M_Filling material'!R:R,0)+_xlfn.XLOOKUP(A15,'M_Filling material'!F:F,'M_Filling material'!R:R,0)+_xlfn.XLOOKUP(A15,'M_Filling material'!G:G,'M_Filling material'!R:R,0)+_xlfn.XLOOKUP(A15,$H$10:$H$17,$F$10:$F$17,0)</f>
        <v>6994.1306272047577</v>
      </c>
      <c r="C15" s="53">
        <f t="shared" ca="1" si="0"/>
        <v>-68612.421452878683</v>
      </c>
      <c r="E15" s="66">
        <v>307</v>
      </c>
      <c r="F15" s="21">
        <f ca="1">_xlfn.XLOOKUP(E15,'M_Filling material'!D:D,'M_Filling material'!R:R,0)+_xlfn.XLOOKUP(E15,'M_Filling material'!E:E,'M_Filling material'!R:R,0)+_xlfn.XLOOKUP(E15,'M_Filling material'!F:F,'M_Filling material'!R:R,0)+_xlfn.XLOOKUP(E15,'M_Filling material'!G:G,'M_Filling material'!R:R,0)</f>
        <v>1562.0994795428253</v>
      </c>
      <c r="G15" s="53">
        <f t="shared" ca="1" si="1"/>
        <v>-15324.195894315117</v>
      </c>
      <c r="H15" s="66">
        <v>95</v>
      </c>
    </row>
    <row r="16" spans="1:15" x14ac:dyDescent="0.3">
      <c r="A16" s="66">
        <v>35</v>
      </c>
      <c r="B16" s="21">
        <f ca="1">_xlfn.XLOOKUP(A16,'M_Filling material'!D:D,'M_Filling material'!R:R,0)+_xlfn.XLOOKUP(A16,'M_Filling material'!E:E,'M_Filling material'!R:R,0)+_xlfn.XLOOKUP(A16,'M_Filling material'!F:F,'M_Filling material'!R:R,0)+_xlfn.XLOOKUP(A16,'M_Filling material'!G:G,'M_Filling material'!R:R,0)+_xlfn.XLOOKUP(A16,$H$10:$H$17,$F$10:$F$17,0)</f>
        <v>3821.6874102236966</v>
      </c>
      <c r="C16" s="53">
        <f t="shared" ca="1" si="0"/>
        <v>-37490.753494294462</v>
      </c>
      <c r="E16" s="66">
        <v>308</v>
      </c>
      <c r="F16" s="21">
        <f ca="1">_xlfn.XLOOKUP(E16,'M_Filling material'!D:D,'M_Filling material'!R:R,0)+_xlfn.XLOOKUP(E16,'M_Filling material'!E:E,'M_Filling material'!R:R,0)+_xlfn.XLOOKUP(E16,'M_Filling material'!F:F,'M_Filling material'!R:R,0)+_xlfn.XLOOKUP(E16,'M_Filling material'!G:G,'M_Filling material'!R:R,0)</f>
        <v>1131.7600000000002</v>
      </c>
      <c r="G16" s="53">
        <f t="shared" ca="1" si="1"/>
        <v>-11102.565600000004</v>
      </c>
      <c r="H16" s="66">
        <v>9</v>
      </c>
      <c r="K16" s="1"/>
    </row>
    <row r="17" spans="1:15" x14ac:dyDescent="0.3">
      <c r="A17" s="66">
        <v>41</v>
      </c>
      <c r="B17" s="21">
        <f ca="1">_xlfn.XLOOKUP(A17,'M_Filling material'!D:D,'M_Filling material'!R:R,0)+_xlfn.XLOOKUP(A17,'M_Filling material'!E:E,'M_Filling material'!R:R,0)+_xlfn.XLOOKUP(A17,'M_Filling material'!F:F,'M_Filling material'!R:R,0)+_xlfn.XLOOKUP(A17,'M_Filling material'!G:G,'M_Filling material'!R:R,0)+_xlfn.XLOOKUP(A17,$H$10:$H$17,$F$10:$F$17,0)</f>
        <v>3896.4891210999599</v>
      </c>
      <c r="C17" s="53">
        <f t="shared" ca="1" si="0"/>
        <v>-38224.558277990611</v>
      </c>
      <c r="E17" s="66">
        <v>309</v>
      </c>
      <c r="F17" s="21">
        <f ca="1">_xlfn.XLOOKUP(E17,'M_Filling material'!D:D,'M_Filling material'!R:R,0)+_xlfn.XLOOKUP(E17,'M_Filling material'!E:E,'M_Filling material'!R:R,0)+_xlfn.XLOOKUP(E17,'M_Filling material'!F:F,'M_Filling material'!R:R,0)+_xlfn.XLOOKUP(E17,'M_Filling material'!G:G,'M_Filling material'!R:R,0)</f>
        <v>1167.8940000000002</v>
      </c>
      <c r="G17" s="53">
        <f t="shared" ca="1" si="1"/>
        <v>-11457.040140000003</v>
      </c>
      <c r="H17" s="66">
        <v>9</v>
      </c>
    </row>
    <row r="18" spans="1:15" x14ac:dyDescent="0.3">
      <c r="A18" s="66">
        <v>46</v>
      </c>
      <c r="B18" s="21">
        <f ca="1">_xlfn.XLOOKUP(A18,'M_Filling material'!D:D,'M_Filling material'!R:R,0)+_xlfn.XLOOKUP(A18,'M_Filling material'!E:E,'M_Filling material'!R:R,0)+_xlfn.XLOOKUP(A18,'M_Filling material'!F:F,'M_Filling material'!R:R,0)+_xlfn.XLOOKUP(A18,'M_Filling material'!G:G,'M_Filling material'!R:R,0)+_xlfn.XLOOKUP(A18,$H$10:$H$17,$F$10:$F$17,0)</f>
        <v>6994.1306272047577</v>
      </c>
      <c r="C18" s="53">
        <f t="shared" ca="1" si="0"/>
        <v>-68612.421452878683</v>
      </c>
      <c r="O18" s="29"/>
    </row>
    <row r="19" spans="1:15" x14ac:dyDescent="0.3">
      <c r="A19" s="66">
        <v>47</v>
      </c>
      <c r="B19" s="21">
        <f ca="1">_xlfn.XLOOKUP(A19,'M_Filling material'!D:D,'M_Filling material'!R:R,0)+_xlfn.XLOOKUP(A19,'M_Filling material'!E:E,'M_Filling material'!R:R,0)+_xlfn.XLOOKUP(A19,'M_Filling material'!F:F,'M_Filling material'!R:R,0)+_xlfn.XLOOKUP(A19,'M_Filling material'!G:G,'M_Filling material'!R:R,0)+_xlfn.XLOOKUP(A19,$H$10:$H$17,$F$10:$F$17,0)</f>
        <v>5016.8869477840035</v>
      </c>
      <c r="C19" s="53">
        <f t="shared" ca="1" si="0"/>
        <v>-49215.66095776108</v>
      </c>
      <c r="E19" s="146" t="s">
        <v>338</v>
      </c>
      <c r="F19" s="146"/>
      <c r="G19" s="146"/>
      <c r="H19" s="146"/>
    </row>
    <row r="20" spans="1:15" x14ac:dyDescent="0.3">
      <c r="A20" s="66">
        <v>48</v>
      </c>
      <c r="B20" s="21">
        <f ca="1">_xlfn.XLOOKUP(A20,'M_Filling material'!D:D,'M_Filling material'!R:R,0)+_xlfn.XLOOKUP(A20,'M_Filling material'!E:E,'M_Filling material'!R:R,0)+_xlfn.XLOOKUP(A20,'M_Filling material'!F:F,'M_Filling material'!R:R,0)+_xlfn.XLOOKUP(A20,'M_Filling material'!G:G,'M_Filling material'!R:R,0)+_xlfn.XLOOKUP(A20,$H$10:$H$17,$F$10:$F$17,0)</f>
        <v>5658.7533661034258</v>
      </c>
      <c r="C20" s="53">
        <f t="shared" ca="1" si="0"/>
        <v>-55512.370521474608</v>
      </c>
      <c r="E20" s="146"/>
      <c r="F20" s="146"/>
      <c r="G20" s="146"/>
      <c r="H20" s="146"/>
    </row>
    <row r="21" spans="1:15" x14ac:dyDescent="0.3">
      <c r="A21" s="66">
        <v>53</v>
      </c>
      <c r="B21" s="21">
        <f ca="1">_xlfn.XLOOKUP(A21,'M_Filling material'!D:D,'M_Filling material'!R:R,0)+_xlfn.XLOOKUP(A21,'M_Filling material'!E:E,'M_Filling material'!R:R,0)+_xlfn.XLOOKUP(A21,'M_Filling material'!F:F,'M_Filling material'!R:R,0)+_xlfn.XLOOKUP(A21,'M_Filling material'!G:G,'M_Filling material'!R:R,0)+_xlfn.XLOOKUP(A21,$H$10:$H$17,$F$10:$F$17,0)</f>
        <v>3244.7571642869566</v>
      </c>
      <c r="C21" s="53">
        <f t="shared" ca="1" si="0"/>
        <v>-31831.067781655045</v>
      </c>
    </row>
    <row r="22" spans="1:15" x14ac:dyDescent="0.3">
      <c r="A22" s="66">
        <v>56</v>
      </c>
      <c r="B22" s="21">
        <f ca="1">_xlfn.XLOOKUP(A22,'M_Filling material'!D:D,'M_Filling material'!R:R,0)+_xlfn.XLOOKUP(A22,'M_Filling material'!E:E,'M_Filling material'!R:R,0)+_xlfn.XLOOKUP(A22,'M_Filling material'!F:F,'M_Filling material'!R:R,0)+_xlfn.XLOOKUP(A22,'M_Filling material'!G:G,'M_Filling material'!R:R,0)+_xlfn.XLOOKUP(A22,$H$10:$H$17,$F$10:$F$17,0)</f>
        <v>1684.6209147638124</v>
      </c>
      <c r="C22" s="53">
        <f t="shared" ca="1" si="0"/>
        <v>-16526.131173833001</v>
      </c>
    </row>
    <row r="23" spans="1:15" x14ac:dyDescent="0.3">
      <c r="A23" s="66">
        <v>62</v>
      </c>
      <c r="B23" s="21">
        <f ca="1">_xlfn.XLOOKUP(A23,'M_Filling material'!D:D,'M_Filling material'!R:R,0)+_xlfn.XLOOKUP(A23,'M_Filling material'!E:E,'M_Filling material'!R:R,0)+_xlfn.XLOOKUP(A23,'M_Filling material'!F:F,'M_Filling material'!R:R,0)+_xlfn.XLOOKUP(A23,'M_Filling material'!G:G,'M_Filling material'!R:R,0)+_xlfn.XLOOKUP(A23,$H$10:$H$17,$F$10:$F$17,0)</f>
        <v>3896.4891210999599</v>
      </c>
      <c r="C23" s="53">
        <f t="shared" ca="1" si="0"/>
        <v>-38224.558277990611</v>
      </c>
    </row>
    <row r="24" spans="1:15" x14ac:dyDescent="0.3">
      <c r="A24" s="66">
        <v>63</v>
      </c>
      <c r="B24" s="21">
        <f ca="1">_xlfn.XLOOKUP(A24,'M_Filling material'!D:D,'M_Filling material'!R:R,0)+_xlfn.XLOOKUP(A24,'M_Filling material'!E:E,'M_Filling material'!R:R,0)+_xlfn.XLOOKUP(A24,'M_Filling material'!F:F,'M_Filling material'!R:R,0)+_xlfn.XLOOKUP(A24,'M_Filling material'!G:G,'M_Filling material'!R:R,0)+_xlfn.XLOOKUP(A24,$H$10:$H$17,$F$10:$F$17,0)</f>
        <v>3896.4891210999599</v>
      </c>
      <c r="C24" s="53">
        <f t="shared" ca="1" si="0"/>
        <v>-38224.558277990611</v>
      </c>
      <c r="K24" s="1"/>
    </row>
    <row r="25" spans="1:15" x14ac:dyDescent="0.3">
      <c r="A25" s="66">
        <v>73</v>
      </c>
      <c r="B25" s="21">
        <f ca="1">_xlfn.XLOOKUP(A25,'M_Filling material'!D:D,'M_Filling material'!R:R,0)+_xlfn.XLOOKUP(A25,'M_Filling material'!E:E,'M_Filling material'!R:R,0)+_xlfn.XLOOKUP(A25,'M_Filling material'!F:F,'M_Filling material'!R:R,0)+_xlfn.XLOOKUP(A25,'M_Filling material'!G:G,'M_Filling material'!R:R,0)+_xlfn.XLOOKUP(A25,$H$10:$H$17,$F$10:$F$17,0)</f>
        <v>370.01597392461127</v>
      </c>
      <c r="C25" s="53">
        <f t="shared" ca="1" si="0"/>
        <v>-3629.856704200437</v>
      </c>
    </row>
    <row r="26" spans="1:15" x14ac:dyDescent="0.3">
      <c r="A26" s="66">
        <v>74</v>
      </c>
      <c r="B26" s="21">
        <f ca="1">_xlfn.XLOOKUP(A26,'M_Filling material'!D:D,'M_Filling material'!R:R,0)+_xlfn.XLOOKUP(A26,'M_Filling material'!E:E,'M_Filling material'!R:R,0)+_xlfn.XLOOKUP(A26,'M_Filling material'!F:F,'M_Filling material'!R:R,0)+_xlfn.XLOOKUP(A26,'M_Filling material'!G:G,'M_Filling material'!R:R,0)+_xlfn.XLOOKUP(A26,$H$10:$H$17,$F$10:$F$17,0)</f>
        <v>3814.3096353004835</v>
      </c>
      <c r="C26" s="53">
        <f t="shared" ca="1" si="0"/>
        <v>-37418.377522297742</v>
      </c>
    </row>
    <row r="27" spans="1:15" x14ac:dyDescent="0.3">
      <c r="A27" s="66">
        <v>75</v>
      </c>
      <c r="B27" s="21">
        <f ca="1">_xlfn.XLOOKUP(A27,'M_Filling material'!D:D,'M_Filling material'!R:R,0)+_xlfn.XLOOKUP(A27,'M_Filling material'!E:E,'M_Filling material'!R:R,0)+_xlfn.XLOOKUP(A27,'M_Filling material'!F:F,'M_Filling material'!R:R,0)+_xlfn.XLOOKUP(A27,'M_Filling material'!G:G,'M_Filling material'!R:R,0)+_xlfn.XLOOKUP(A27,$H$10:$H$17,$F$10:$F$17,0)</f>
        <v>3814.3096353004835</v>
      </c>
      <c r="C27" s="53">
        <f t="shared" ca="1" si="0"/>
        <v>-37418.377522297742</v>
      </c>
    </row>
    <row r="28" spans="1:15" x14ac:dyDescent="0.3">
      <c r="A28" s="66">
        <v>89</v>
      </c>
      <c r="B28" s="21">
        <f ca="1">_xlfn.XLOOKUP(A28,'M_Filling material'!D:D,'M_Filling material'!R:R,0)+_xlfn.XLOOKUP(A28,'M_Filling material'!E:E,'M_Filling material'!R:R,0)+_xlfn.XLOOKUP(A28,'M_Filling material'!F:F,'M_Filling material'!R:R,0)+_xlfn.XLOOKUP(A28,'M_Filling material'!G:G,'M_Filling material'!R:R,0)+_xlfn.XLOOKUP(A28,$H$10:$H$17,$F$10:$F$17,0)</f>
        <v>3821.6874102236966</v>
      </c>
      <c r="C28" s="53">
        <f t="shared" ca="1" si="0"/>
        <v>-37490.753494294462</v>
      </c>
    </row>
    <row r="29" spans="1:15" x14ac:dyDescent="0.3">
      <c r="A29" s="66">
        <v>94</v>
      </c>
      <c r="B29" s="21">
        <f ca="1">_xlfn.XLOOKUP(A29,'M_Filling material'!D:D,'M_Filling material'!R:R,0)+_xlfn.XLOOKUP(A29,'M_Filling material'!E:E,'M_Filling material'!R:R,0)+_xlfn.XLOOKUP(A29,'M_Filling material'!F:F,'M_Filling material'!R:R,0)+_xlfn.XLOOKUP(A29,'M_Filling material'!G:G,'M_Filling material'!R:R,0)+_xlfn.XLOOKUP(A29,$H$10:$H$17,$F$10:$F$17,0)</f>
        <v>3896.4891210999599</v>
      </c>
      <c r="C29" s="53">
        <f t="shared" ca="1" si="0"/>
        <v>-38224.558277990611</v>
      </c>
    </row>
    <row r="30" spans="1:15" x14ac:dyDescent="0.3">
      <c r="A30" s="66">
        <v>96</v>
      </c>
      <c r="B30" s="21">
        <f ca="1">_xlfn.XLOOKUP(A30,'M_Filling material'!D:D,'M_Filling material'!R:R,0)+_xlfn.XLOOKUP(A30,'M_Filling material'!E:E,'M_Filling material'!R:R,0)+_xlfn.XLOOKUP(A30,'M_Filling material'!F:F,'M_Filling material'!R:R,0)+_xlfn.XLOOKUP(A30,'M_Filling material'!G:G,'M_Filling material'!R:R,0)+_xlfn.XLOOKUP(A30,$H$10:$H$17,$F$10:$F$17,0)</f>
        <v>3244.7571642869566</v>
      </c>
      <c r="C30" s="53">
        <f t="shared" ca="1" si="0"/>
        <v>-31831.067781655045</v>
      </c>
    </row>
    <row r="31" spans="1:15" x14ac:dyDescent="0.3">
      <c r="A31" s="66">
        <v>101</v>
      </c>
      <c r="B31" s="21">
        <f ca="1">_xlfn.XLOOKUP(A31,'M_Filling material'!D:D,'M_Filling material'!R:R,0)+_xlfn.XLOOKUP(A31,'M_Filling material'!E:E,'M_Filling material'!R:R,0)+_xlfn.XLOOKUP(A31,'M_Filling material'!F:F,'M_Filling material'!R:R,0)+_xlfn.XLOOKUP(A31,'M_Filling material'!G:G,'M_Filling material'!R:R,0)+_xlfn.XLOOKUP(A31,$H$10:$H$17,$F$10:$F$17,0)</f>
        <v>966.76597392461122</v>
      </c>
      <c r="C31" s="53">
        <f t="shared" ca="1" si="0"/>
        <v>-9483.9742042004364</v>
      </c>
    </row>
    <row r="32" spans="1:15" x14ac:dyDescent="0.3">
      <c r="D32" t="s">
        <v>304</v>
      </c>
    </row>
    <row r="40" spans="2:3" x14ac:dyDescent="0.3">
      <c r="B40" s="23"/>
      <c r="C40" s="52"/>
    </row>
    <row r="41" spans="2:3" x14ac:dyDescent="0.3">
      <c r="B41" s="23"/>
      <c r="C41" s="52"/>
    </row>
    <row r="42" spans="2:3" x14ac:dyDescent="0.3">
      <c r="B42" s="23"/>
      <c r="C42" s="52"/>
    </row>
    <row r="43" spans="2:3" x14ac:dyDescent="0.3">
      <c r="B43" s="23"/>
      <c r="C43" s="52"/>
    </row>
    <row r="44" spans="2:3" x14ac:dyDescent="0.3">
      <c r="B44" s="22"/>
      <c r="C44" s="23"/>
    </row>
    <row r="45" spans="2:3" x14ac:dyDescent="0.3">
      <c r="B45" s="22"/>
      <c r="C45" s="23"/>
    </row>
    <row r="46" spans="2:3" x14ac:dyDescent="0.3">
      <c r="B46" s="22"/>
      <c r="C46" s="23"/>
    </row>
    <row r="47" spans="2:3" x14ac:dyDescent="0.3">
      <c r="B47" s="22"/>
      <c r="C47" s="23"/>
    </row>
    <row r="48" spans="2:3" x14ac:dyDescent="0.3">
      <c r="B48" s="22"/>
      <c r="C48" s="23"/>
    </row>
    <row r="49" spans="5:5" x14ac:dyDescent="0.3">
      <c r="E49" s="22"/>
    </row>
    <row r="50" spans="5:5" x14ac:dyDescent="0.3">
      <c r="E50" s="22"/>
    </row>
    <row r="51" spans="5:5" x14ac:dyDescent="0.3">
      <c r="E51" s="22"/>
    </row>
    <row r="52" spans="5:5" x14ac:dyDescent="0.3">
      <c r="E52" s="22"/>
    </row>
    <row r="53" spans="5:5" x14ac:dyDescent="0.3">
      <c r="E53" s="22"/>
    </row>
    <row r="54" spans="5:5" x14ac:dyDescent="0.3">
      <c r="E54" s="22"/>
    </row>
    <row r="55" spans="5:5" x14ac:dyDescent="0.3">
      <c r="E55" s="22"/>
    </row>
    <row r="56" spans="5:5" x14ac:dyDescent="0.3">
      <c r="E56" s="22"/>
    </row>
    <row r="57" spans="5:5" x14ac:dyDescent="0.3">
      <c r="E57" s="22"/>
    </row>
  </sheetData>
  <sortState xmlns:xlrd2="http://schemas.microsoft.com/office/spreadsheetml/2017/richdata2" ref="F20:F80">
    <sortCondition ref="F20:F80"/>
  </sortState>
  <mergeCells count="1">
    <mergeCell ref="E19:H20"/>
  </mergeCells>
  <pageMargins left="0.7" right="0.7" top="0.78740157499999996" bottom="0.78740157499999996" header="0.3" footer="0.3"/>
  <pageSetup paperSize="9" orientation="landscape" r:id="rId1"/>
  <headerFooter>
    <oddHeader>&amp;LMaster Thesis 2023/2024&amp;CSt. Lawrence Parish House,
Petrinja, Croatia&amp;R&amp;G</oddHeader>
    <oddFooter>&amp;L&amp;A&amp;CModel: Initial state&amp;R&amp;P</oddFooter>
  </headerFooter>
  <legacyDrawingHF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316D3-48EC-4041-8252-8AFC2D4C017B}">
  <sheetPr>
    <tabColor theme="6"/>
  </sheetPr>
  <dimension ref="A1:O64"/>
  <sheetViews>
    <sheetView view="pageLayout" zoomScaleNormal="100" workbookViewId="0">
      <selection activeCell="I4" sqref="I4"/>
    </sheetView>
  </sheetViews>
  <sheetFormatPr baseColWidth="10" defaultColWidth="10.6640625" defaultRowHeight="14" x14ac:dyDescent="0.3"/>
  <cols>
    <col min="1" max="1" width="22.5" bestFit="1" customWidth="1"/>
    <col min="2" max="2" width="2.9140625" customWidth="1"/>
    <col min="3" max="3" width="10.83203125" bestFit="1" customWidth="1"/>
    <col min="4" max="4" width="3.33203125" customWidth="1"/>
    <col min="5" max="5" width="3.08203125" bestFit="1" customWidth="1"/>
    <col min="6" max="6" width="12.83203125" bestFit="1" customWidth="1"/>
    <col min="7" max="7" width="4.5" customWidth="1"/>
    <col min="8" max="8" width="3.25" customWidth="1"/>
    <col min="9" max="9" width="21.08203125" bestFit="1" customWidth="1"/>
    <col min="10" max="10" width="10.08203125" customWidth="1"/>
    <col min="11" max="11" width="10.25" bestFit="1" customWidth="1"/>
    <col min="12" max="12" width="2.33203125" bestFit="1" customWidth="1"/>
    <col min="13" max="13" width="3.83203125" customWidth="1"/>
    <col min="14" max="14" width="10.25" bestFit="1" customWidth="1"/>
    <col min="15" max="15" width="4.75" customWidth="1"/>
    <col min="16" max="16" width="7.58203125" bestFit="1" customWidth="1"/>
    <col min="17" max="17" width="7.5" bestFit="1" customWidth="1"/>
    <col min="18" max="18" width="8.1640625" bestFit="1" customWidth="1"/>
    <col min="19" max="20" width="9.75" bestFit="1" customWidth="1"/>
    <col min="21" max="21" width="10.25" bestFit="1" customWidth="1"/>
    <col min="22" max="22" width="13.9140625" customWidth="1"/>
    <col min="23" max="23" width="17" bestFit="1" customWidth="1"/>
  </cols>
  <sheetData>
    <row r="1" spans="1:15" s="105" customFormat="1" ht="17" thickBot="1" x14ac:dyDescent="0.4">
      <c r="A1" s="102" t="s">
        <v>420</v>
      </c>
      <c r="B1" s="103"/>
      <c r="C1" s="104"/>
      <c r="D1" s="104"/>
      <c r="E1" s="103"/>
    </row>
    <row r="2" spans="1:15" x14ac:dyDescent="0.3">
      <c r="A2" s="61" t="s">
        <v>378</v>
      </c>
      <c r="C2" t="s">
        <v>379</v>
      </c>
    </row>
    <row r="3" spans="1:15" x14ac:dyDescent="0.3">
      <c r="A3" s="61" t="s">
        <v>375</v>
      </c>
      <c r="C3" s="57">
        <f ca="1">TODAY()</f>
        <v>45304</v>
      </c>
    </row>
    <row r="4" spans="1:15" x14ac:dyDescent="0.3">
      <c r="A4" s="61" t="s">
        <v>398</v>
      </c>
      <c r="C4" t="s">
        <v>421</v>
      </c>
    </row>
    <row r="5" spans="1:15" x14ac:dyDescent="0.3">
      <c r="A5" s="61" t="s">
        <v>377</v>
      </c>
      <c r="C5" t="s">
        <v>422</v>
      </c>
    </row>
    <row r="6" spans="1:15" s="6" customFormat="1" x14ac:dyDescent="0.3"/>
    <row r="7" spans="1:15" ht="14.5" thickBot="1" x14ac:dyDescent="0.35">
      <c r="A7" s="114" t="s">
        <v>340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</row>
    <row r="9" spans="1:15" x14ac:dyDescent="0.3">
      <c r="A9" s="54" t="s">
        <v>214</v>
      </c>
      <c r="I9" s="54" t="s">
        <v>216</v>
      </c>
    </row>
    <row r="10" spans="1:15" x14ac:dyDescent="0.3">
      <c r="A10" s="55" t="s">
        <v>352</v>
      </c>
      <c r="B10" t="s">
        <v>353</v>
      </c>
      <c r="C10">
        <v>1.75</v>
      </c>
      <c r="D10" t="s">
        <v>220</v>
      </c>
      <c r="I10" s="55" t="s">
        <v>352</v>
      </c>
      <c r="J10" t="s">
        <v>353</v>
      </c>
      <c r="K10">
        <v>5.6</v>
      </c>
      <c r="L10" t="s">
        <v>220</v>
      </c>
    </row>
    <row r="11" spans="1:15" x14ac:dyDescent="0.3">
      <c r="B11" s="147" t="s">
        <v>343</v>
      </c>
      <c r="C11" s="147"/>
      <c r="D11" s="121"/>
      <c r="E11" s="147" t="s">
        <v>344</v>
      </c>
      <c r="F11" s="147"/>
      <c r="J11" s="147" t="s">
        <v>343</v>
      </c>
      <c r="K11" s="147"/>
      <c r="L11" s="121"/>
      <c r="M11" s="147" t="s">
        <v>344</v>
      </c>
      <c r="N11" s="147"/>
    </row>
    <row r="12" spans="1:15" x14ac:dyDescent="0.3">
      <c r="A12" t="s">
        <v>341</v>
      </c>
      <c r="B12" s="66">
        <v>2</v>
      </c>
      <c r="C12" s="65">
        <f>_xlfn.XLOOKUP(B12,L_Floor!A:A,L_Floor!I:I)</f>
        <v>-23860.2</v>
      </c>
      <c r="D12" s="65" t="s">
        <v>239</v>
      </c>
      <c r="E12" s="66">
        <v>8</v>
      </c>
      <c r="F12" s="65">
        <f>_xlfn.XLOOKUP(E12,L_Floor!A:A,L_Floor!I:I)</f>
        <v>-4013.338209142501</v>
      </c>
      <c r="G12" s="65" t="s">
        <v>239</v>
      </c>
      <c r="I12" t="s">
        <v>341</v>
      </c>
      <c r="J12" s="66">
        <v>72</v>
      </c>
      <c r="K12" s="65">
        <f>_xlfn.XLOOKUP(J12,L_Floor!A:A,L_Floor!I:I,0)</f>
        <v>-23441.599999999999</v>
      </c>
      <c r="L12" s="65" t="s">
        <v>239</v>
      </c>
      <c r="M12" s="66">
        <v>75</v>
      </c>
      <c r="N12" s="65">
        <f>_xlfn.XLOOKUP(M12,L_Floor!A:A,L_Floor!I:I,0)</f>
        <v>-26665.165800000002</v>
      </c>
      <c r="O12" s="65" t="s">
        <v>239</v>
      </c>
    </row>
    <row r="13" spans="1:15" x14ac:dyDescent="0.3">
      <c r="B13" s="66">
        <v>3</v>
      </c>
      <c r="C13" s="65">
        <f>_xlfn.XLOOKUP(B13,L_Floor!A:A,L_Floor!I:I)</f>
        <v>-19320</v>
      </c>
      <c r="D13" s="65" t="s">
        <v>239</v>
      </c>
      <c r="E13" s="66">
        <v>9</v>
      </c>
      <c r="F13" s="65">
        <f>_xlfn.XLOOKUP(E13,L_Floor!A:A,L_Floor!I:I)</f>
        <v>-11830.835925000001</v>
      </c>
      <c r="G13" s="65" t="s">
        <v>239</v>
      </c>
      <c r="J13" s="66">
        <v>28</v>
      </c>
      <c r="K13" s="65">
        <f>_xlfn.XLOOKUP(J13,L_Floor!A:A,L_Floor!I:I,0)</f>
        <v>-34711.599999999999</v>
      </c>
      <c r="L13" s="65" t="s">
        <v>239</v>
      </c>
      <c r="M13" s="66">
        <v>32</v>
      </c>
      <c r="N13" s="65">
        <f>_xlfn.XLOOKUP(M13,L_Floor!A:A,L_Floor!I:I,0)</f>
        <v>-39484.957050000005</v>
      </c>
      <c r="O13" s="65" t="s">
        <v>239</v>
      </c>
    </row>
    <row r="14" spans="1:15" x14ac:dyDescent="0.3">
      <c r="B14" s="66">
        <v>5</v>
      </c>
      <c r="C14" s="65">
        <f>_xlfn.XLOOKUP(B14,L_Floor!A:A,L_Floor!I:I)</f>
        <v>-17750.25</v>
      </c>
      <c r="D14" s="65" t="s">
        <v>239</v>
      </c>
      <c r="E14" s="66">
        <v>11</v>
      </c>
      <c r="F14" s="65">
        <f>_xlfn.XLOOKUP(E14,L_Floor!A:A,L_Floor!I:I)</f>
        <v>-10061.2468828125</v>
      </c>
      <c r="G14" s="65" t="s">
        <v>239</v>
      </c>
      <c r="J14" s="66">
        <v>29</v>
      </c>
      <c r="K14" s="65">
        <f>_xlfn.XLOOKUP(J14,L_Floor!A:A,L_Floor!I:I,0)</f>
        <v>-30654.399999999998</v>
      </c>
      <c r="L14" s="65" t="s">
        <v>239</v>
      </c>
      <c r="M14" s="66">
        <v>33</v>
      </c>
      <c r="N14" s="65">
        <f>_xlfn.XLOOKUP(M14,L_Floor!A:A,L_Floor!I:I,0)</f>
        <v>-34869.832200000004</v>
      </c>
      <c r="O14" s="65" t="s">
        <v>239</v>
      </c>
    </row>
    <row r="15" spans="1:15" x14ac:dyDescent="0.3">
      <c r="B15" s="66">
        <v>6</v>
      </c>
      <c r="C15" s="65">
        <f>_xlfn.XLOOKUP(B15,L_Floor!A:A,L_Floor!I:I)</f>
        <v>-6279.0000000000009</v>
      </c>
      <c r="D15" s="65" t="s">
        <v>239</v>
      </c>
      <c r="E15" s="66">
        <v>12</v>
      </c>
      <c r="F15" s="65">
        <f>_xlfn.XLOOKUP(E15,L_Floor!A:A,L_Floor!I:I)</f>
        <v>-7142.4551250000013</v>
      </c>
      <c r="G15" s="65" t="s">
        <v>239</v>
      </c>
      <c r="J15" s="66">
        <v>30</v>
      </c>
      <c r="K15" s="65">
        <f>_xlfn.XLOOKUP(J15,L_Floor!A:A,L_Floor!I:I,0)</f>
        <v>-42825.999999999993</v>
      </c>
      <c r="L15" s="65" t="s">
        <v>239</v>
      </c>
      <c r="M15" s="66">
        <v>34</v>
      </c>
      <c r="N15" s="65">
        <f>_xlfn.XLOOKUP(M15,L_Floor!A:A,L_Floor!I:I,0)</f>
        <v>-48715.206750000005</v>
      </c>
      <c r="O15" s="65" t="s">
        <v>239</v>
      </c>
    </row>
    <row r="16" spans="1:15" x14ac:dyDescent="0.3">
      <c r="C16" s="25"/>
      <c r="D16" s="25"/>
      <c r="F16" s="25"/>
      <c r="G16" s="25"/>
      <c r="J16" s="66">
        <v>31</v>
      </c>
      <c r="K16" s="65">
        <f>_xlfn.XLOOKUP(J16,L_Floor!A:A,L_Floor!I:I,0)</f>
        <v>-23441.599999999999</v>
      </c>
      <c r="L16" s="65" t="s">
        <v>239</v>
      </c>
      <c r="M16" s="66">
        <v>35</v>
      </c>
      <c r="N16" s="65">
        <f>_xlfn.XLOOKUP(M16,L_Floor!A:A,L_Floor!I:I,0)</f>
        <v>-26665.165800000002</v>
      </c>
      <c r="O16" s="65" t="s">
        <v>239</v>
      </c>
    </row>
    <row r="17" spans="1:15" x14ac:dyDescent="0.3">
      <c r="A17" t="s">
        <v>345</v>
      </c>
      <c r="B17" s="66">
        <v>2</v>
      </c>
      <c r="C17" s="65">
        <f ca="1">_xlfn.XLOOKUP(B17,L_Roof!A:A,L_Roof!C:C)</f>
        <v>-23063.040000000005</v>
      </c>
      <c r="D17" s="65" t="s">
        <v>239</v>
      </c>
      <c r="E17" s="66">
        <v>8</v>
      </c>
      <c r="F17" s="65">
        <f>_xlfn.XLOOKUP(E17,L_Roof!A:A,L_Roof!C:C,0)</f>
        <v>0</v>
      </c>
      <c r="G17" s="65" t="s">
        <v>239</v>
      </c>
      <c r="K17" s="25"/>
      <c r="L17" s="25"/>
      <c r="N17" s="25"/>
      <c r="O17" s="25"/>
    </row>
    <row r="18" spans="1:15" x14ac:dyDescent="0.3">
      <c r="B18" s="66">
        <v>3</v>
      </c>
      <c r="C18" s="65">
        <f ca="1">_xlfn.XLOOKUP(B18,L_Roof!A:A,L_Roof!C:C)</f>
        <v>-18278.400000000001</v>
      </c>
      <c r="D18" s="65" t="s">
        <v>239</v>
      </c>
      <c r="E18" s="66">
        <v>9</v>
      </c>
      <c r="F18" s="65">
        <f>_xlfn.XLOOKUP(E18,L_Roof!A:A,L_Roof!C:C,0)</f>
        <v>0</v>
      </c>
      <c r="G18" s="65" t="s">
        <v>239</v>
      </c>
      <c r="I18" t="s">
        <v>345</v>
      </c>
      <c r="J18" s="66">
        <v>72</v>
      </c>
      <c r="K18" s="65">
        <f ca="1">_xlfn.XLOOKUP(J18,L_Roof!A:A,L_Roof!C:C,0)</f>
        <v>-6948.4799999999977</v>
      </c>
      <c r="L18" s="65" t="s">
        <v>239</v>
      </c>
      <c r="M18" s="66">
        <v>75</v>
      </c>
      <c r="N18" s="65">
        <f>_xlfn.XLOOKUP(M18,L_Roof!A:A,L_Roof!C:C,0)</f>
        <v>0</v>
      </c>
      <c r="O18" s="65" t="s">
        <v>239</v>
      </c>
    </row>
    <row r="19" spans="1:15" x14ac:dyDescent="0.3">
      <c r="B19" s="66">
        <v>5</v>
      </c>
      <c r="C19" s="65">
        <f ca="1">_xlfn.XLOOKUP(B19,L_Roof!A:A,L_Roof!C:C)</f>
        <v>-23036.16</v>
      </c>
      <c r="D19" s="65" t="s">
        <v>239</v>
      </c>
      <c r="E19" s="66">
        <v>11</v>
      </c>
      <c r="F19" s="65">
        <f>_xlfn.XLOOKUP(E19,L_Roof!A:A,L_Roof!C:C,0)</f>
        <v>0</v>
      </c>
      <c r="G19" s="65" t="s">
        <v>239</v>
      </c>
      <c r="J19" s="66">
        <v>28</v>
      </c>
      <c r="K19" s="65">
        <f ca="1">_xlfn.XLOOKUP(J19,L_Roof!A:A,L_Roof!C:C,0)</f>
        <v>-20616.959999999995</v>
      </c>
      <c r="L19" s="65" t="s">
        <v>239</v>
      </c>
      <c r="M19" s="66">
        <v>32</v>
      </c>
      <c r="N19" s="65">
        <f>_xlfn.XLOOKUP(M19,L_Roof!A:A,L_Roof!C:C,0)</f>
        <v>0</v>
      </c>
      <c r="O19" s="65" t="s">
        <v>239</v>
      </c>
    </row>
    <row r="20" spans="1:15" x14ac:dyDescent="0.3">
      <c r="B20" s="66">
        <v>6</v>
      </c>
      <c r="C20" s="65">
        <f ca="1">_xlfn.XLOOKUP(B20,L_Roof!A:A,L_Roof!C:C)</f>
        <v>-6948.4799999999977</v>
      </c>
      <c r="D20" s="65" t="s">
        <v>239</v>
      </c>
      <c r="E20" s="66">
        <v>12</v>
      </c>
      <c r="F20" s="65">
        <f>_xlfn.XLOOKUP(E20,L_Roof!A:A,L_Roof!C:C,0)</f>
        <v>0</v>
      </c>
      <c r="G20" s="65" t="s">
        <v>239</v>
      </c>
      <c r="J20" s="66">
        <v>29</v>
      </c>
      <c r="K20" s="65">
        <f ca="1">_xlfn.XLOOKUP(J20,L_Roof!A:A,L_Roof!C:C,0)</f>
        <v>-18278.400000000001</v>
      </c>
      <c r="L20" s="65" t="s">
        <v>239</v>
      </c>
      <c r="M20" s="66">
        <v>33</v>
      </c>
      <c r="N20" s="65">
        <f>_xlfn.XLOOKUP(M20,L_Roof!A:A,L_Roof!C:C,0)</f>
        <v>0</v>
      </c>
      <c r="O20" s="65" t="s">
        <v>239</v>
      </c>
    </row>
    <row r="21" spans="1:15" x14ac:dyDescent="0.3">
      <c r="C21" s="25"/>
      <c r="D21" s="25"/>
      <c r="F21" s="25"/>
      <c r="G21" s="25"/>
      <c r="J21" s="66">
        <v>30</v>
      </c>
      <c r="K21" s="65">
        <f ca="1">_xlfn.XLOOKUP(J21,L_Roof!A:A,L_Roof!C:C,0)</f>
        <v>-25482.240000000005</v>
      </c>
      <c r="L21" s="65" t="s">
        <v>239</v>
      </c>
      <c r="M21" s="66">
        <v>34</v>
      </c>
      <c r="N21" s="65">
        <f>_xlfn.XLOOKUP(M21,L_Roof!A:A,L_Roof!C:C,0)</f>
        <v>0</v>
      </c>
      <c r="O21" s="65" t="s">
        <v>239</v>
      </c>
    </row>
    <row r="22" spans="1:15" x14ac:dyDescent="0.3">
      <c r="A22" t="s">
        <v>342</v>
      </c>
      <c r="B22" s="66">
        <v>2</v>
      </c>
      <c r="C22" s="21">
        <f>_xlfn.XLOOKUP(B22,'L_Filling material'!A:A,'L_Filling material'!C:C,0)</f>
        <v>0</v>
      </c>
      <c r="D22" s="65" t="s">
        <v>239</v>
      </c>
      <c r="E22" s="66">
        <v>8</v>
      </c>
      <c r="F22" s="21">
        <f ca="1">_xlfn.XLOOKUP(E22,'L_Filling material'!A:A,'L_Filling material'!C:C,0)</f>
        <v>-13711.0687069165</v>
      </c>
      <c r="G22" s="65" t="s">
        <v>239</v>
      </c>
      <c r="J22" s="66">
        <v>31</v>
      </c>
      <c r="K22" s="65">
        <f ca="1">_xlfn.XLOOKUP(J22,L_Roof!A:A,L_Roof!C:C,0)</f>
        <v>-6961.92</v>
      </c>
      <c r="L22" s="65" t="s">
        <v>239</v>
      </c>
      <c r="M22" s="66">
        <v>35</v>
      </c>
      <c r="N22" s="65">
        <f>_xlfn.XLOOKUP(M22,L_Roof!A:A,L_Roof!C:C,0)</f>
        <v>0</v>
      </c>
      <c r="O22" s="65" t="s">
        <v>239</v>
      </c>
    </row>
    <row r="23" spans="1:15" x14ac:dyDescent="0.3">
      <c r="B23" s="66">
        <v>3</v>
      </c>
      <c r="C23" s="21">
        <f>_xlfn.XLOOKUP(B23,'L_Filling material'!A:A,'L_Filling material'!C:C,0)</f>
        <v>0</v>
      </c>
      <c r="D23" s="65" t="s">
        <v>239</v>
      </c>
      <c r="E23" s="66">
        <v>9</v>
      </c>
      <c r="F23" s="21">
        <f>_xlfn.XLOOKUP(E23,'L_Filling material'!A:A,'L_Filling material'!C:C,0)</f>
        <v>0</v>
      </c>
      <c r="G23" s="65" t="s">
        <v>239</v>
      </c>
      <c r="K23" s="25"/>
      <c r="L23" s="25"/>
      <c r="N23" s="25"/>
      <c r="O23" s="25"/>
    </row>
    <row r="24" spans="1:15" x14ac:dyDescent="0.3">
      <c r="B24" s="66">
        <v>5</v>
      </c>
      <c r="C24" s="21">
        <f>_xlfn.XLOOKUP(B24,'L_Filling material'!A:A,'L_Filling material'!C:C,0)</f>
        <v>0</v>
      </c>
      <c r="D24" s="65" t="s">
        <v>239</v>
      </c>
      <c r="E24" s="66">
        <v>11</v>
      </c>
      <c r="F24" s="21">
        <f ca="1">_xlfn.XLOOKUP(E24,'L_Filling material'!A:A,'L_Filling material'!C:C,0)</f>
        <v>-9483.9742042004364</v>
      </c>
      <c r="G24" s="65" t="s">
        <v>239</v>
      </c>
      <c r="I24" t="s">
        <v>342</v>
      </c>
      <c r="J24" s="66">
        <v>72</v>
      </c>
      <c r="K24" s="65">
        <f>_xlfn.XLOOKUP(J24,'L_Filling material'!A:A,'L_Filling material'!C:C,0)</f>
        <v>0</v>
      </c>
      <c r="L24" s="65" t="s">
        <v>239</v>
      </c>
      <c r="M24" s="66">
        <v>75</v>
      </c>
      <c r="N24" s="65">
        <f ca="1">_xlfn.XLOOKUP(M24,'L_Filling material'!A:A,'L_Filling material'!C:C,0)</f>
        <v>-37418.377522297742</v>
      </c>
      <c r="O24" s="65" t="s">
        <v>239</v>
      </c>
    </row>
    <row r="25" spans="1:15" x14ac:dyDescent="0.3">
      <c r="B25" s="66">
        <v>6</v>
      </c>
      <c r="C25" s="21">
        <f>_xlfn.XLOOKUP(B25,'L_Filling material'!A:A,'L_Filling material'!C:C,0)</f>
        <v>0</v>
      </c>
      <c r="D25" s="65" t="s">
        <v>239</v>
      </c>
      <c r="E25" s="66">
        <v>12</v>
      </c>
      <c r="F25" s="21">
        <f ca="1">_xlfn.XLOOKUP(E25,'L_Filling material'!A:A,'L_Filling material'!C:C,0)</f>
        <v>-3629.856704200437</v>
      </c>
      <c r="G25" s="65" t="s">
        <v>239</v>
      </c>
      <c r="J25" s="66">
        <v>28</v>
      </c>
      <c r="K25" s="65">
        <f>_xlfn.XLOOKUP(J25,'L_Filling material'!A:A,'L_Filling material'!C:C,0)</f>
        <v>0</v>
      </c>
      <c r="L25" s="65" t="s">
        <v>239</v>
      </c>
      <c r="M25" s="66">
        <v>32</v>
      </c>
      <c r="N25" s="65">
        <f ca="1">_xlfn.XLOOKUP(M25,'L_Filling material'!A:A,'L_Filling material'!C:C,0)</f>
        <v>-55512.370521474608</v>
      </c>
      <c r="O25" s="65" t="s">
        <v>239</v>
      </c>
    </row>
    <row r="26" spans="1:15" x14ac:dyDescent="0.3">
      <c r="B26" s="22"/>
      <c r="C26" s="23"/>
      <c r="D26" s="25"/>
      <c r="G26" s="25"/>
      <c r="J26" s="66">
        <v>29</v>
      </c>
      <c r="K26" s="65">
        <f>_xlfn.XLOOKUP(J26,'L_Filling material'!A:A,'L_Filling material'!C:C,0)</f>
        <v>0</v>
      </c>
      <c r="L26" s="65" t="s">
        <v>239</v>
      </c>
      <c r="M26" s="66">
        <v>33</v>
      </c>
      <c r="N26" s="65">
        <f ca="1">_xlfn.XLOOKUP(M26,'L_Filling material'!A:A,'L_Filling material'!C:C,0)</f>
        <v>-49215.66095776108</v>
      </c>
      <c r="O26" s="65" t="s">
        <v>239</v>
      </c>
    </row>
    <row r="27" spans="1:15" x14ac:dyDescent="0.3">
      <c r="A27" s="86" t="s">
        <v>346</v>
      </c>
      <c r="B27" s="124" t="s">
        <v>347</v>
      </c>
      <c r="C27" s="125">
        <f ca="1">-SUM(C17:C20)</f>
        <v>71326.080000000002</v>
      </c>
      <c r="D27" s="126" t="s">
        <v>239</v>
      </c>
      <c r="E27" s="127" t="s">
        <v>348</v>
      </c>
      <c r="F27" s="128">
        <f ca="1">-SUM(F22:F25)</f>
        <v>26824.899615317372</v>
      </c>
      <c r="G27" s="126" t="s">
        <v>239</v>
      </c>
      <c r="J27" s="66">
        <v>30</v>
      </c>
      <c r="K27" s="65">
        <f>_xlfn.XLOOKUP(J27,'L_Filling material'!A:A,'L_Filling material'!C:C,0)</f>
        <v>0</v>
      </c>
      <c r="L27" s="65" t="s">
        <v>239</v>
      </c>
      <c r="M27" s="66">
        <v>34</v>
      </c>
      <c r="N27" s="65">
        <f ca="1">_xlfn.XLOOKUP(M27,'L_Filling material'!A:A,'L_Filling material'!C:C,0)</f>
        <v>-68612.421452878683</v>
      </c>
      <c r="O27" s="65" t="s">
        <v>239</v>
      </c>
    </row>
    <row r="28" spans="1:15" x14ac:dyDescent="0.3">
      <c r="A28" s="86"/>
      <c r="B28" s="124" t="s">
        <v>350</v>
      </c>
      <c r="C28" s="125">
        <f>-SUM(C12:C15)</f>
        <v>67209.45</v>
      </c>
      <c r="D28" s="126" t="s">
        <v>239</v>
      </c>
      <c r="E28" s="127" t="s">
        <v>349</v>
      </c>
      <c r="F28" s="128">
        <f>0</f>
        <v>0</v>
      </c>
      <c r="G28" s="126" t="s">
        <v>239</v>
      </c>
      <c r="J28" s="66">
        <v>31</v>
      </c>
      <c r="K28" s="65">
        <f>_xlfn.XLOOKUP(J28,'L_Filling material'!A:A,'L_Filling material'!C:C,0)</f>
        <v>0</v>
      </c>
      <c r="L28" s="65" t="s">
        <v>239</v>
      </c>
      <c r="M28" s="66">
        <v>35</v>
      </c>
      <c r="N28" s="65">
        <f ca="1">_xlfn.XLOOKUP(M28,'L_Filling material'!A:A,'L_Filling material'!C:C,0)</f>
        <v>-37490.753494294462</v>
      </c>
      <c r="O28" s="65" t="s">
        <v>239</v>
      </c>
    </row>
    <row r="29" spans="1:15" x14ac:dyDescent="0.3">
      <c r="A29" s="119"/>
      <c r="B29" s="120"/>
      <c r="C29" s="108"/>
      <c r="D29" s="108"/>
      <c r="E29" s="127" t="s">
        <v>351</v>
      </c>
      <c r="F29" s="128">
        <f>-SUM(F12:F15)/(C10/2)</f>
        <v>37769.001305091435</v>
      </c>
      <c r="G29" s="126" t="s">
        <v>238</v>
      </c>
      <c r="J29" s="22"/>
      <c r="K29" s="23"/>
      <c r="L29" s="25"/>
      <c r="O29" s="25"/>
    </row>
    <row r="30" spans="1:15" x14ac:dyDescent="0.3">
      <c r="B30" s="22"/>
      <c r="C30" s="23"/>
      <c r="D30" s="23"/>
      <c r="I30" s="86" t="s">
        <v>346</v>
      </c>
      <c r="J30" s="124" t="s">
        <v>347</v>
      </c>
      <c r="K30" s="125">
        <f ca="1">-SUM(K18:K22)</f>
        <v>78288</v>
      </c>
      <c r="L30" s="126" t="s">
        <v>239</v>
      </c>
      <c r="M30" s="127" t="s">
        <v>348</v>
      </c>
      <c r="N30" s="128">
        <f ca="1">-SUM(N24:N28)</f>
        <v>248249.58394870657</v>
      </c>
      <c r="O30" s="126" t="s">
        <v>239</v>
      </c>
    </row>
    <row r="31" spans="1:15" x14ac:dyDescent="0.3">
      <c r="F31" s="22"/>
      <c r="I31" s="86"/>
      <c r="J31" s="124" t="s">
        <v>350</v>
      </c>
      <c r="K31" s="125">
        <f>-SUM(K12:K16)</f>
        <v>155075.19999999998</v>
      </c>
      <c r="L31" s="126" t="s">
        <v>239</v>
      </c>
      <c r="M31" s="127" t="s">
        <v>349</v>
      </c>
      <c r="N31" s="128">
        <v>0</v>
      </c>
      <c r="O31" s="126" t="s">
        <v>239</v>
      </c>
    </row>
    <row r="32" spans="1:15" x14ac:dyDescent="0.3">
      <c r="F32" s="22"/>
      <c r="I32" s="119"/>
      <c r="J32" s="119"/>
      <c r="K32" s="86"/>
      <c r="L32" s="86"/>
      <c r="M32" s="127" t="s">
        <v>351</v>
      </c>
      <c r="N32" s="128">
        <f>-SUM(N12:N16)/(K10/2)</f>
        <v>63000.117000000013</v>
      </c>
      <c r="O32" s="126" t="s">
        <v>238</v>
      </c>
    </row>
    <row r="33" spans="1:15" x14ac:dyDescent="0.3">
      <c r="F33" s="22"/>
    </row>
    <row r="34" spans="1:15" ht="14.5" thickBot="1" x14ac:dyDescent="0.35">
      <c r="A34" s="114" t="s">
        <v>357</v>
      </c>
      <c r="B34" s="114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</row>
    <row r="35" spans="1:15" x14ac:dyDescent="0.3">
      <c r="F35" s="22"/>
    </row>
    <row r="36" spans="1:15" x14ac:dyDescent="0.3">
      <c r="A36" s="54" t="s">
        <v>214</v>
      </c>
      <c r="I36" s="54" t="s">
        <v>216</v>
      </c>
    </row>
    <row r="37" spans="1:15" x14ac:dyDescent="0.3">
      <c r="B37" s="147" t="s">
        <v>343</v>
      </c>
      <c r="C37" s="147"/>
      <c r="D37" s="121"/>
      <c r="E37" s="147" t="s">
        <v>362</v>
      </c>
      <c r="F37" s="147"/>
      <c r="G37" s="147"/>
      <c r="H37" s="119"/>
      <c r="I37" s="119"/>
      <c r="J37" s="147" t="s">
        <v>343</v>
      </c>
      <c r="K37" s="147"/>
      <c r="L37" s="121"/>
      <c r="M37" s="147" t="s">
        <v>362</v>
      </c>
      <c r="N37" s="147"/>
      <c r="O37" s="147"/>
    </row>
    <row r="38" spans="1:15" x14ac:dyDescent="0.3">
      <c r="A38" t="s">
        <v>341</v>
      </c>
      <c r="B38" s="66">
        <v>2</v>
      </c>
      <c r="C38" s="65">
        <f>_xlfn.XLOOKUP(B38,L_Floor!A:A,L_Floor!I:I)</f>
        <v>-23860.2</v>
      </c>
      <c r="D38" s="65" t="s">
        <v>239</v>
      </c>
      <c r="F38" s="25"/>
      <c r="G38" s="25"/>
      <c r="I38" t="s">
        <v>341</v>
      </c>
      <c r="J38" s="66">
        <v>28</v>
      </c>
      <c r="K38" s="65">
        <f>_xlfn.XLOOKUP(J38,L_Floor!A:A,L_Floor!I:I,0)</f>
        <v>-34711.599999999999</v>
      </c>
      <c r="L38" s="65" t="s">
        <v>239</v>
      </c>
      <c r="N38" s="25"/>
      <c r="O38" s="25"/>
    </row>
    <row r="39" spans="1:15" x14ac:dyDescent="0.3">
      <c r="B39" s="66">
        <v>3</v>
      </c>
      <c r="C39" s="65">
        <f>_xlfn.XLOOKUP(B39,L_Floor!A:A,L_Floor!I:I)</f>
        <v>-19320</v>
      </c>
      <c r="D39" s="65" t="s">
        <v>239</v>
      </c>
      <c r="F39" s="25"/>
      <c r="G39" s="25"/>
      <c r="J39" s="66">
        <v>29</v>
      </c>
      <c r="K39" s="65">
        <f>_xlfn.XLOOKUP(J39,L_Floor!A:A,L_Floor!I:I,0)</f>
        <v>-30654.399999999998</v>
      </c>
      <c r="L39" s="65" t="s">
        <v>239</v>
      </c>
      <c r="N39" s="25"/>
      <c r="O39" s="25"/>
    </row>
    <row r="40" spans="1:15" x14ac:dyDescent="0.3">
      <c r="B40" s="66">
        <v>5</v>
      </c>
      <c r="C40" s="65">
        <f>_xlfn.XLOOKUP(B40,L_Floor!A:A,L_Floor!I:I)</f>
        <v>-17750.25</v>
      </c>
      <c r="D40" s="65" t="s">
        <v>239</v>
      </c>
      <c r="F40" s="25"/>
      <c r="G40" s="25"/>
      <c r="J40" s="66">
        <v>30</v>
      </c>
      <c r="K40" s="65">
        <f>_xlfn.XLOOKUP(J40,L_Floor!A:A,L_Floor!I:I,0)</f>
        <v>-42825.999999999993</v>
      </c>
      <c r="L40" s="65" t="s">
        <v>239</v>
      </c>
      <c r="N40" s="25"/>
      <c r="O40" s="25"/>
    </row>
    <row r="41" spans="1:15" x14ac:dyDescent="0.3">
      <c r="A41" t="s">
        <v>359</v>
      </c>
      <c r="C41" s="22">
        <f>SUM(C38:C40)</f>
        <v>-60930.45</v>
      </c>
      <c r="D41" s="25" t="s">
        <v>239</v>
      </c>
      <c r="E41" s="127" t="s">
        <v>361</v>
      </c>
      <c r="F41" s="124">
        <f ca="1">C41/C51</f>
        <v>-5088.1377870563674</v>
      </c>
      <c r="G41" s="126" t="s">
        <v>238</v>
      </c>
      <c r="I41" t="s">
        <v>359</v>
      </c>
      <c r="K41" s="22">
        <f>SUM(K38:K40)</f>
        <v>-108192</v>
      </c>
      <c r="L41" s="25" t="s">
        <v>239</v>
      </c>
      <c r="M41" s="127" t="s">
        <v>361</v>
      </c>
      <c r="N41" s="124">
        <f ca="1">K41/K51</f>
        <v>-9034.8225469728604</v>
      </c>
      <c r="O41" s="126" t="s">
        <v>238</v>
      </c>
    </row>
    <row r="42" spans="1:15" x14ac:dyDescent="0.3">
      <c r="C42" s="25"/>
      <c r="D42" s="25"/>
      <c r="E42" s="119"/>
      <c r="F42" s="122"/>
      <c r="G42" s="122"/>
      <c r="K42" s="25"/>
      <c r="L42" s="25"/>
      <c r="M42" s="119"/>
      <c r="N42" s="122"/>
      <c r="O42" s="122"/>
    </row>
    <row r="43" spans="1:15" x14ac:dyDescent="0.3">
      <c r="A43" t="s">
        <v>345</v>
      </c>
      <c r="B43" s="66">
        <v>2</v>
      </c>
      <c r="C43" s="65">
        <f ca="1">_xlfn.XLOOKUP(B43,L_Roof!A:A,L_Roof!C:C)</f>
        <v>-23063.040000000005</v>
      </c>
      <c r="D43" s="65" t="s">
        <v>239</v>
      </c>
      <c r="E43" s="119"/>
      <c r="F43" s="122"/>
      <c r="G43" s="122"/>
      <c r="I43" t="s">
        <v>345</v>
      </c>
      <c r="J43" s="66">
        <v>28</v>
      </c>
      <c r="K43" s="65">
        <f ca="1">_xlfn.XLOOKUP(J43,L_Roof!A:A,L_Roof!C:C,0)</f>
        <v>-20616.959999999995</v>
      </c>
      <c r="L43" s="65" t="s">
        <v>239</v>
      </c>
      <c r="M43" s="119"/>
      <c r="N43" s="122"/>
      <c r="O43" s="122"/>
    </row>
    <row r="44" spans="1:15" x14ac:dyDescent="0.3">
      <c r="B44" s="66">
        <v>3</v>
      </c>
      <c r="C44" s="65">
        <f ca="1">_xlfn.XLOOKUP(B44,L_Roof!A:A,L_Roof!C:C)</f>
        <v>-18278.400000000001</v>
      </c>
      <c r="D44" s="65" t="s">
        <v>239</v>
      </c>
      <c r="E44" s="119"/>
      <c r="F44" s="122"/>
      <c r="G44" s="122"/>
      <c r="J44" s="66">
        <v>29</v>
      </c>
      <c r="K44" s="65">
        <f ca="1">_xlfn.XLOOKUP(J44,L_Roof!A:A,L_Roof!C:C,0)</f>
        <v>-18278.400000000001</v>
      </c>
      <c r="L44" s="65" t="s">
        <v>239</v>
      </c>
      <c r="M44" s="119"/>
      <c r="N44" s="122"/>
      <c r="O44" s="122"/>
    </row>
    <row r="45" spans="1:15" x14ac:dyDescent="0.3">
      <c r="B45" s="66">
        <v>5</v>
      </c>
      <c r="C45" s="65">
        <f ca="1">_xlfn.XLOOKUP(B45,L_Roof!A:A,L_Roof!C:C)</f>
        <v>-23036.16</v>
      </c>
      <c r="D45" s="65" t="s">
        <v>239</v>
      </c>
      <c r="E45" s="119"/>
      <c r="F45" s="122"/>
      <c r="G45" s="122"/>
      <c r="J45" s="66">
        <v>30</v>
      </c>
      <c r="K45" s="65">
        <f ca="1">_xlfn.XLOOKUP(J45,L_Roof!A:A,L_Roof!C:C,0)</f>
        <v>-25482.240000000005</v>
      </c>
      <c r="L45" s="65" t="s">
        <v>239</v>
      </c>
      <c r="M45" s="119"/>
      <c r="N45" s="122"/>
      <c r="O45" s="122"/>
    </row>
    <row r="46" spans="1:15" x14ac:dyDescent="0.3">
      <c r="A46" t="s">
        <v>359</v>
      </c>
      <c r="C46" s="22">
        <f ca="1">SUM(C43:C45)</f>
        <v>-64377.600000000006</v>
      </c>
      <c r="D46" s="25" t="s">
        <v>239</v>
      </c>
      <c r="E46" s="127" t="s">
        <v>360</v>
      </c>
      <c r="F46" s="124">
        <f ca="1">C46/C51</f>
        <v>-5376.0000000000009</v>
      </c>
      <c r="G46" s="126" t="s">
        <v>238</v>
      </c>
      <c r="I46" t="s">
        <v>359</v>
      </c>
      <c r="K46" s="22">
        <f ca="1">SUM(K43:K45)</f>
        <v>-64377.600000000006</v>
      </c>
      <c r="L46" s="25" t="s">
        <v>239</v>
      </c>
      <c r="M46" s="127" t="s">
        <v>360</v>
      </c>
      <c r="N46" s="124">
        <f ca="1">K46/K51</f>
        <v>-5376.0000000000009</v>
      </c>
      <c r="O46" s="126" t="s">
        <v>238</v>
      </c>
    </row>
    <row r="47" spans="1:15" x14ac:dyDescent="0.3">
      <c r="C47" s="25"/>
      <c r="D47" s="25"/>
      <c r="E47" s="119"/>
      <c r="F47" s="122"/>
      <c r="G47" s="122"/>
      <c r="K47" s="25"/>
      <c r="L47" s="25"/>
      <c r="N47" s="25"/>
      <c r="O47" s="25"/>
    </row>
    <row r="48" spans="1:15" x14ac:dyDescent="0.3">
      <c r="A48" t="s">
        <v>358</v>
      </c>
      <c r="B48" s="66">
        <v>2</v>
      </c>
      <c r="C48" s="20">
        <f ca="1">_xlfn.XLOOKUP(B48,M_Roof!A:A,M_Roof!D:D)</f>
        <v>4.29</v>
      </c>
      <c r="D48" s="65" t="s">
        <v>220</v>
      </c>
      <c r="E48" s="119"/>
      <c r="F48" s="120"/>
      <c r="G48" s="122"/>
      <c r="I48" t="s">
        <v>358</v>
      </c>
      <c r="J48" s="66">
        <v>28</v>
      </c>
      <c r="K48" s="67">
        <f ca="1">_xlfn.XLOOKUP(J48,M_Roof!A:A,M_Roof!D:D)</f>
        <v>3.8349999999999991</v>
      </c>
      <c r="L48" s="65" t="s">
        <v>220</v>
      </c>
      <c r="N48" s="1"/>
      <c r="O48" s="25"/>
    </row>
    <row r="49" spans="1:15" x14ac:dyDescent="0.3">
      <c r="B49" s="66">
        <v>3</v>
      </c>
      <c r="C49" s="20">
        <f ca="1">_xlfn.XLOOKUP(B49,M_Roof!A:A,M_Roof!D:D)</f>
        <v>3.4000000000000004</v>
      </c>
      <c r="D49" s="65" t="s">
        <v>220</v>
      </c>
      <c r="E49" s="119"/>
      <c r="F49" s="120"/>
      <c r="G49" s="122"/>
      <c r="J49" s="66">
        <v>29</v>
      </c>
      <c r="K49" s="67">
        <f>_xlfn.XLOOKUP(J49,M_Roof!A:A,M_Roof!D:D)</f>
        <v>3.4000000000000004</v>
      </c>
      <c r="L49" s="65" t="s">
        <v>220</v>
      </c>
      <c r="N49" s="1"/>
      <c r="O49" s="25"/>
    </row>
    <row r="50" spans="1:15" x14ac:dyDescent="0.3">
      <c r="B50" s="66">
        <v>5</v>
      </c>
      <c r="C50" s="20">
        <f ca="1">_xlfn.XLOOKUP(B50,M_Roof!A:A,M_Roof!D:D)</f>
        <v>4.2849999999999993</v>
      </c>
      <c r="D50" s="65" t="s">
        <v>220</v>
      </c>
      <c r="E50" s="119"/>
      <c r="F50" s="120"/>
      <c r="G50" s="122"/>
      <c r="J50" s="66">
        <v>30</v>
      </c>
      <c r="K50" s="67">
        <f>_xlfn.XLOOKUP(J50,M_Roof!A:A,M_Roof!D:D)</f>
        <v>4.74</v>
      </c>
      <c r="L50" s="65" t="s">
        <v>220</v>
      </c>
      <c r="N50" s="1"/>
      <c r="O50" s="25"/>
    </row>
    <row r="51" spans="1:15" x14ac:dyDescent="0.3">
      <c r="A51" t="s">
        <v>218</v>
      </c>
      <c r="C51" s="22">
        <f ca="1">SUM(C48:C50)</f>
        <v>11.975</v>
      </c>
      <c r="D51" s="25" t="s">
        <v>220</v>
      </c>
      <c r="E51" s="119"/>
      <c r="F51" s="120"/>
      <c r="G51" s="122"/>
      <c r="I51" t="s">
        <v>218</v>
      </c>
      <c r="K51" s="22">
        <f ca="1">SUM(K48:K50)</f>
        <v>11.975</v>
      </c>
      <c r="L51" s="25" t="s">
        <v>220</v>
      </c>
      <c r="N51" s="1"/>
      <c r="O51" s="25"/>
    </row>
    <row r="52" spans="1:15" x14ac:dyDescent="0.3">
      <c r="C52" s="22"/>
      <c r="D52" s="25"/>
      <c r="E52" s="119"/>
      <c r="F52" s="120"/>
      <c r="G52" s="122"/>
      <c r="K52" s="1"/>
      <c r="L52" s="25"/>
      <c r="N52" s="1"/>
      <c r="O52" s="25"/>
    </row>
    <row r="53" spans="1:15" x14ac:dyDescent="0.3">
      <c r="A53" s="66" t="s">
        <v>363</v>
      </c>
      <c r="B53" s="66">
        <v>1</v>
      </c>
      <c r="C53" s="20">
        <v>2.1029411764705799</v>
      </c>
      <c r="D53" s="65" t="s">
        <v>220</v>
      </c>
      <c r="E53" s="66">
        <v>2</v>
      </c>
      <c r="F53" s="20">
        <v>2.1352941176470499</v>
      </c>
      <c r="G53" s="65" t="s">
        <v>220</v>
      </c>
      <c r="I53" s="66" t="s">
        <v>363</v>
      </c>
      <c r="J53" s="66">
        <v>1</v>
      </c>
      <c r="K53" s="20">
        <v>2.1029411764705799</v>
      </c>
      <c r="L53" s="65" t="s">
        <v>220</v>
      </c>
      <c r="M53" s="66">
        <v>2</v>
      </c>
      <c r="N53" s="20">
        <v>1.73529411764705</v>
      </c>
      <c r="O53" s="65" t="s">
        <v>220</v>
      </c>
    </row>
    <row r="54" spans="1:15" x14ac:dyDescent="0.3">
      <c r="A54" s="127" t="s">
        <v>364</v>
      </c>
      <c r="B54" s="127" t="s">
        <v>347</v>
      </c>
      <c r="C54" s="125">
        <f ca="1">-C53*F46</f>
        <v>11305.411764705839</v>
      </c>
      <c r="D54" s="126" t="s">
        <v>239</v>
      </c>
      <c r="E54" s="127" t="s">
        <v>348</v>
      </c>
      <c r="F54" s="125">
        <f ca="1">-F53*F46</f>
        <v>11479.341176470542</v>
      </c>
      <c r="G54" s="126" t="s">
        <v>239</v>
      </c>
      <c r="I54" s="127" t="s">
        <v>364</v>
      </c>
      <c r="J54" s="127" t="s">
        <v>347</v>
      </c>
      <c r="K54" s="125">
        <f ca="1">-K53*N46</f>
        <v>11305.411764705839</v>
      </c>
      <c r="L54" s="126" t="s">
        <v>239</v>
      </c>
      <c r="M54" s="127" t="s">
        <v>348</v>
      </c>
      <c r="N54" s="125">
        <f ca="1">-N53*N46</f>
        <v>9328.9411764705419</v>
      </c>
      <c r="O54" s="126" t="s">
        <v>239</v>
      </c>
    </row>
    <row r="55" spans="1:15" x14ac:dyDescent="0.3">
      <c r="A55" s="86"/>
      <c r="B55" s="127" t="s">
        <v>350</v>
      </c>
      <c r="C55" s="125">
        <f ca="1">-C53*F41</f>
        <v>10700.054463956731</v>
      </c>
      <c r="D55" s="126" t="s">
        <v>239</v>
      </c>
      <c r="E55" s="127" t="s">
        <v>349</v>
      </c>
      <c r="F55" s="125">
        <f ca="1">-F53*F41</f>
        <v>10864.670686479139</v>
      </c>
      <c r="G55" s="126" t="s">
        <v>239</v>
      </c>
      <c r="I55" s="86"/>
      <c r="J55" s="127" t="s">
        <v>350</v>
      </c>
      <c r="K55" s="125">
        <f ca="1">-K53*N41</f>
        <v>18999.700356134028</v>
      </c>
      <c r="L55" s="126" t="s">
        <v>239</v>
      </c>
      <c r="M55" s="127" t="s">
        <v>349</v>
      </c>
      <c r="N55" s="125">
        <f ca="1">-N53*N41</f>
        <v>15678.074419746943</v>
      </c>
      <c r="O55" s="126" t="s">
        <v>239</v>
      </c>
    </row>
    <row r="56" spans="1:15" x14ac:dyDescent="0.3">
      <c r="B56" s="22"/>
      <c r="C56" s="23"/>
      <c r="D56" s="25"/>
      <c r="G56" s="25"/>
      <c r="I56" s="119"/>
      <c r="J56" s="120"/>
      <c r="K56" s="123"/>
      <c r="L56" s="122"/>
      <c r="M56" s="119"/>
      <c r="N56" s="119"/>
      <c r="O56" s="122"/>
    </row>
    <row r="57" spans="1:15" x14ac:dyDescent="0.3">
      <c r="A57" s="44"/>
      <c r="B57" s="56"/>
      <c r="C57" s="52"/>
      <c r="D57" s="25"/>
      <c r="E57" s="44"/>
      <c r="F57" s="29"/>
      <c r="G57" s="25"/>
      <c r="I57" s="44"/>
      <c r="J57" s="56"/>
      <c r="K57" s="52"/>
      <c r="L57" s="25"/>
      <c r="M57" s="44"/>
      <c r="N57" s="29"/>
      <c r="O57" s="25"/>
    </row>
    <row r="58" spans="1:15" x14ac:dyDescent="0.3">
      <c r="A58" s="44"/>
      <c r="B58" s="56"/>
      <c r="C58" s="52"/>
      <c r="D58" s="25"/>
      <c r="E58" s="44"/>
      <c r="F58" s="29"/>
      <c r="G58" s="25"/>
      <c r="J58" s="56"/>
      <c r="K58" s="52"/>
      <c r="L58" s="25"/>
      <c r="M58" s="44"/>
      <c r="N58" s="29"/>
      <c r="O58" s="25"/>
    </row>
    <row r="59" spans="1:15" x14ac:dyDescent="0.3">
      <c r="B59" s="22"/>
      <c r="C59" s="23"/>
      <c r="D59" s="23"/>
      <c r="E59" s="44"/>
      <c r="F59" s="29"/>
      <c r="G59" s="25"/>
      <c r="M59" s="44"/>
      <c r="N59" s="29"/>
      <c r="O59" s="25"/>
    </row>
    <row r="60" spans="1:15" x14ac:dyDescent="0.3">
      <c r="B60" s="22"/>
      <c r="C60" s="23"/>
      <c r="D60" s="23"/>
    </row>
    <row r="61" spans="1:15" x14ac:dyDescent="0.3">
      <c r="F61" s="22"/>
    </row>
    <row r="62" spans="1:15" x14ac:dyDescent="0.3">
      <c r="F62" s="22"/>
    </row>
    <row r="64" spans="1:15" x14ac:dyDescent="0.3">
      <c r="I64" s="44"/>
    </row>
  </sheetData>
  <mergeCells count="8">
    <mergeCell ref="M37:O37"/>
    <mergeCell ref="B11:C11"/>
    <mergeCell ref="E11:F11"/>
    <mergeCell ref="J11:K11"/>
    <mergeCell ref="M11:N11"/>
    <mergeCell ref="B37:C37"/>
    <mergeCell ref="J37:K37"/>
    <mergeCell ref="E37:G37"/>
  </mergeCells>
  <pageMargins left="0.7" right="0.7" top="0.78740157499999996" bottom="0.78740157499999996" header="0.3" footer="0.3"/>
  <pageSetup paperSize="9" scale="95" orientation="landscape" r:id="rId1"/>
  <headerFooter>
    <oddHeader>&amp;LMaster Thesis 2023/2024&amp;CSt. Lawrence Parish House,
Petrinja, Croatia&amp;R&amp;G</oddHeader>
    <oddFooter>&amp;L&amp;A&amp;CModel: Initial state&amp;R&amp;P</oddFooter>
  </headerFooter>
  <rowBreaks count="1" manualBreakCount="1">
    <brk id="33" max="16383" man="1"/>
  </rowBreaks>
  <legacyDrawingHF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8B34-DCF6-4D20-A980-6FF520EB784F}">
  <sheetPr>
    <tabColor theme="6"/>
  </sheetPr>
  <dimension ref="A1:AO53"/>
  <sheetViews>
    <sheetView view="pageLayout" zoomScale="25" zoomScaleNormal="100" zoomScalePageLayoutView="25" workbookViewId="0">
      <selection activeCell="AL10" sqref="AL10"/>
    </sheetView>
  </sheetViews>
  <sheetFormatPr baseColWidth="10" defaultColWidth="10.5" defaultRowHeight="14" x14ac:dyDescent="0.3"/>
  <cols>
    <col min="1" max="1" width="7.83203125" style="6" bestFit="1" customWidth="1"/>
    <col min="2" max="2" width="19.08203125" style="6" customWidth="1"/>
    <col min="3" max="3" width="9" style="6" customWidth="1"/>
    <col min="4" max="4" width="7" style="6" bestFit="1" customWidth="1"/>
    <col min="5" max="5" width="7.08203125" style="6" bestFit="1" customWidth="1"/>
    <col min="6" max="6" width="7.25" style="6" bestFit="1" customWidth="1"/>
    <col min="7" max="7" width="7.5" style="7" bestFit="1" customWidth="1"/>
    <col min="8" max="8" width="7" style="7" bestFit="1" customWidth="1"/>
    <col min="9" max="10" width="6.33203125" style="6" bestFit="1" customWidth="1"/>
    <col min="11" max="12" width="7" style="6" bestFit="1" customWidth="1"/>
    <col min="13" max="13" width="6.83203125" style="6" bestFit="1" customWidth="1"/>
    <col min="14" max="14" width="6.75" style="6" bestFit="1" customWidth="1"/>
    <col min="15" max="15" width="8" style="6" bestFit="1" customWidth="1"/>
    <col min="16" max="16" width="7.25" style="6" bestFit="1" customWidth="1"/>
    <col min="17" max="21" width="9.75" style="6" bestFit="1" customWidth="1"/>
    <col min="22" max="22" width="9.75" style="12" bestFit="1" customWidth="1"/>
    <col min="23" max="23" width="9.75" style="6" bestFit="1" customWidth="1"/>
    <col min="24" max="24" width="8.08203125" style="6" bestFit="1" customWidth="1"/>
    <col min="25" max="25" width="7.5" style="6" bestFit="1" customWidth="1"/>
    <col min="26" max="26" width="10.08203125" style="6" bestFit="1" customWidth="1"/>
    <col min="27" max="27" width="8" style="6" bestFit="1" customWidth="1"/>
    <col min="28" max="28" width="7.83203125" style="6" bestFit="1" customWidth="1"/>
    <col min="29" max="29" width="9.9140625" style="6" bestFit="1" customWidth="1"/>
    <col min="30" max="34" width="9.75" style="6" bestFit="1" customWidth="1"/>
    <col min="35" max="16384" width="10.5" style="6"/>
  </cols>
  <sheetData>
    <row r="1" spans="1:41" ht="17" thickBot="1" x14ac:dyDescent="0.4">
      <c r="A1" s="102" t="s">
        <v>423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3"/>
    </row>
    <row r="2" spans="1:41" x14ac:dyDescent="0.3">
      <c r="A2" s="61" t="s">
        <v>378</v>
      </c>
      <c r="C2" t="s">
        <v>379</v>
      </c>
    </row>
    <row r="3" spans="1:41" x14ac:dyDescent="0.3">
      <c r="A3" s="61" t="s">
        <v>375</v>
      </c>
      <c r="C3" s="140">
        <f ca="1">TODAY()</f>
        <v>45304</v>
      </c>
      <c r="D3" s="140"/>
      <c r="H3" s="6"/>
      <c r="U3" s="12"/>
      <c r="V3" s="6"/>
    </row>
    <row r="4" spans="1:41" x14ac:dyDescent="0.3">
      <c r="A4" s="61" t="s">
        <v>398</v>
      </c>
      <c r="C4" t="s">
        <v>426</v>
      </c>
      <c r="D4" s="8"/>
      <c r="E4" s="8"/>
      <c r="F4" s="8"/>
      <c r="H4" s="6"/>
      <c r="L4" s="152"/>
      <c r="M4" s="152"/>
      <c r="U4" s="12"/>
      <c r="V4" s="6"/>
    </row>
    <row r="5" spans="1:41" ht="14.5" thickBot="1" x14ac:dyDescent="0.35">
      <c r="A5" s="61" t="s">
        <v>377</v>
      </c>
      <c r="C5" t="s">
        <v>424</v>
      </c>
      <c r="H5" s="6"/>
      <c r="U5" s="12"/>
      <c r="V5" s="6"/>
    </row>
    <row r="6" spans="1:41" s="7" customFormat="1" ht="14" customHeight="1" x14ac:dyDescent="0.3">
      <c r="Q6" s="148" t="s">
        <v>321</v>
      </c>
      <c r="R6" s="148"/>
      <c r="S6" s="148" t="s">
        <v>195</v>
      </c>
      <c r="T6" s="148"/>
      <c r="U6" s="148"/>
      <c r="V6" s="148"/>
      <c r="W6" s="148"/>
      <c r="X6" s="148" t="s">
        <v>204</v>
      </c>
      <c r="Y6" s="148"/>
      <c r="Z6" s="148"/>
      <c r="AA6" s="148"/>
      <c r="AB6" s="148"/>
      <c r="AC6" s="148"/>
      <c r="AD6" s="148"/>
      <c r="AE6" s="148"/>
      <c r="AF6" s="149" t="s">
        <v>78</v>
      </c>
      <c r="AG6" s="150"/>
      <c r="AH6" s="151"/>
    </row>
    <row r="7" spans="1:41" s="114" customFormat="1" ht="28.5" thickBot="1" x14ac:dyDescent="0.35">
      <c r="A7" s="114" t="s">
        <v>65</v>
      </c>
      <c r="B7" s="114" t="s">
        <v>79</v>
      </c>
      <c r="C7" s="106" t="s">
        <v>80</v>
      </c>
      <c r="D7" s="114" t="s">
        <v>22</v>
      </c>
      <c r="E7" s="114" t="s">
        <v>23</v>
      </c>
      <c r="F7" s="114" t="s">
        <v>67</v>
      </c>
      <c r="G7" s="114" t="s">
        <v>68</v>
      </c>
      <c r="H7" s="114" t="s">
        <v>69</v>
      </c>
      <c r="I7" s="114" t="s">
        <v>70</v>
      </c>
      <c r="J7" s="114" t="s">
        <v>81</v>
      </c>
      <c r="K7" s="114" t="s">
        <v>82</v>
      </c>
      <c r="L7" s="114" t="s">
        <v>83</v>
      </c>
      <c r="M7" s="114" t="s">
        <v>84</v>
      </c>
      <c r="N7" s="114" t="s">
        <v>85</v>
      </c>
      <c r="O7" s="114" t="s">
        <v>86</v>
      </c>
      <c r="P7" s="114" t="s">
        <v>87</v>
      </c>
      <c r="Q7" s="114" t="s">
        <v>88</v>
      </c>
      <c r="R7" s="114" t="s">
        <v>73</v>
      </c>
      <c r="S7" s="114" t="s">
        <v>89</v>
      </c>
      <c r="T7" s="114" t="s">
        <v>90</v>
      </c>
      <c r="U7" s="114" t="s">
        <v>91</v>
      </c>
      <c r="V7" s="114" t="s">
        <v>91</v>
      </c>
      <c r="W7" s="114" t="s">
        <v>92</v>
      </c>
      <c r="X7" s="114" t="s">
        <v>196</v>
      </c>
      <c r="Y7" s="114" t="s">
        <v>197</v>
      </c>
      <c r="Z7" s="114" t="s">
        <v>200</v>
      </c>
      <c r="AA7" s="114" t="s">
        <v>198</v>
      </c>
      <c r="AB7" s="114" t="s">
        <v>199</v>
      </c>
      <c r="AC7" s="114" t="s">
        <v>201</v>
      </c>
      <c r="AD7" s="114" t="s">
        <v>202</v>
      </c>
      <c r="AE7" s="114" t="s">
        <v>203</v>
      </c>
      <c r="AF7" s="114" t="s">
        <v>71</v>
      </c>
      <c r="AG7" s="114" t="s">
        <v>72</v>
      </c>
      <c r="AH7" s="129" t="s">
        <v>73</v>
      </c>
    </row>
    <row r="8" spans="1:41" x14ac:dyDescent="0.3">
      <c r="A8" s="9">
        <v>1</v>
      </c>
      <c r="B8" s="9" t="s">
        <v>13</v>
      </c>
      <c r="C8" s="9" t="s">
        <v>93</v>
      </c>
      <c r="D8" s="9">
        <f>_xlfn.XLOOKUP(A8+200,TCL_Shells!$C$8:$C$32,TCL_Shells!$D$8:$D$32)</f>
        <v>89</v>
      </c>
      <c r="E8" s="9" cm="1">
        <f t="array" ref="E8">_xlfn.XLOOKUP(A8+200,TCL_Shells!$C$8:$C$32,TCL_Shells!$E$8:E$32)</f>
        <v>46</v>
      </c>
      <c r="F8" s="9" cm="1">
        <f t="array" ref="F8">_xlfn.XLOOKUP(A8+200,TCL_Shells!$C$8:$C$32,TCL_Shells!$F$8:F$32)</f>
        <v>34</v>
      </c>
      <c r="G8" s="10" cm="1">
        <f t="array" ref="G8">_xlfn.XLOOKUP(A8+200,TCL_Shells!$C$8:$C$32,TCL_Shells!$G$8:G$32)</f>
        <v>35</v>
      </c>
      <c r="H8" s="9">
        <f ca="1">_xlfn.XLOOKUP(A8,M_Floor!$A$8:$A$34,M_Floor!$O$8:$O$34)</f>
        <v>5.18</v>
      </c>
      <c r="I8" s="9">
        <f ca="1">_xlfn.XLOOKUP(A8,M_Floor!$A$8:$A$34,M_Floor!$P$8:$P$34)</f>
        <v>5.6199999999999992</v>
      </c>
      <c r="J8" s="9">
        <v>0</v>
      </c>
      <c r="K8" s="10">
        <f>2.7+0.15/2-1.55</f>
        <v>1.2250000000000003</v>
      </c>
      <c r="L8" s="9">
        <v>0.15</v>
      </c>
      <c r="M8" s="13">
        <f ca="1">L8/H8</f>
        <v>2.8957528957528959E-2</v>
      </c>
      <c r="N8" s="13">
        <f ca="1">L8/I8</f>
        <v>2.6690391459074737E-2</v>
      </c>
      <c r="O8" s="13">
        <f ca="1">J8/H8</f>
        <v>0</v>
      </c>
      <c r="P8" s="13">
        <f ca="1">K8/I8</f>
        <v>0.2179715302491104</v>
      </c>
      <c r="Q8" s="14">
        <f>'B_Material properties'!$F$9</f>
        <v>1500000000</v>
      </c>
      <c r="R8" s="14">
        <f>'B_Material properties'!$F$10</f>
        <v>500000000</v>
      </c>
      <c r="S8" s="14">
        <f>IF(J8=0,1,IF(C8="Barrel",($C$29*M8+$D$29)*(O8^(M8*$E$29+$F$29)),($G$30*M8+$H$30)*LN(O8)+$I$30*M8+$J$30))*Q8</f>
        <v>1500000000</v>
      </c>
      <c r="T8" s="130">
        <f ca="1">IF(K8=0,1,IF(C8="Barrel",($C$29*N8+$D$29)*(P8^($E$29*N8+$F$29)),($G$30*N8+$H$30)*LN(P8)+$I$30*N8+$J$30))*Q8</f>
        <v>309154.10164914379</v>
      </c>
      <c r="U8" s="14">
        <f>IF(J8=0,0,(IF(C8="Barrel",($K$29*M8+$L$29)*O8+$M$29*M8+$N$29,($O$30*M8+$P$30)*O8^2+($K$30*M8+$L$30)*O8+$M$30*M8+$N$30)))*R8</f>
        <v>0</v>
      </c>
      <c r="V8" s="14">
        <f ca="1">IF(K8=0,0,(IF(D8="Barrel",($K$29*N8+$L$29)*P8+$M$29*N8+$N$29,($O$30*N8+$P$30)*P8^2+($K$30*N8+$L$30)*P8+$M$30*N8+$N$30)))*R8</f>
        <v>135768162.87445676</v>
      </c>
      <c r="W8" s="14">
        <f ca="1">IF(MIN(U8:V8)&gt;0,MIN(U8:V8),MAX(U8:V8))</f>
        <v>135768162.87445676</v>
      </c>
      <c r="X8" s="31">
        <f ca="1">IF(K8&gt;0,(-I8/2*K8+(I8/2+L8)*(K8+L8))*PI()/2,I8*L8)</f>
        <v>0.98606739414549605</v>
      </c>
      <c r="Y8" s="31">
        <f ca="1">I8*L8</f>
        <v>0.84299999999999986</v>
      </c>
      <c r="Z8" s="31">
        <f ca="1">X8/Y8</f>
        <v>1.1697122113232459</v>
      </c>
      <c r="AA8" s="31">
        <f ca="1">IF(J8&gt;0,(-H8/2*J8+(H8/2+L8)*(J8+L8))*PI()/2,H8*L8)</f>
        <v>0.77699999999999991</v>
      </c>
      <c r="AB8" s="31">
        <f ca="1">H8*L8</f>
        <v>0.77699999999999991</v>
      </c>
      <c r="AC8" s="31">
        <f ca="1">AA8/AB8</f>
        <v>1</v>
      </c>
      <c r="AD8" s="130">
        <f ca="1">Q8*Z8</f>
        <v>1754568316.9848688</v>
      </c>
      <c r="AE8" s="32">
        <f ca="1">Q8*AC8</f>
        <v>1500000000</v>
      </c>
      <c r="AF8" s="33">
        <f ca="1">IF(ISERROR(FIND("X",B8)),AD8,S8)</f>
        <v>1754568316.9848688</v>
      </c>
      <c r="AG8" s="14">
        <f ca="1">IF(ISERROR(FIND("Y",B8)),AE8,T8)</f>
        <v>309154.10164914379</v>
      </c>
      <c r="AH8" s="34">
        <f ca="1">W8</f>
        <v>135768162.87445676</v>
      </c>
    </row>
    <row r="9" spans="1:41" x14ac:dyDescent="0.3">
      <c r="A9" s="9">
        <v>2</v>
      </c>
      <c r="B9" s="9" t="s">
        <v>13</v>
      </c>
      <c r="C9" s="9" t="s">
        <v>93</v>
      </c>
      <c r="D9" s="9">
        <f>_xlfn.XLOOKUP(A9+200,TCL_Shells!$C$8:$C$32,TCL_Shells!$D$8:$D$32)</f>
        <v>46</v>
      </c>
      <c r="E9" s="9" cm="1">
        <f t="array" ref="E9">_xlfn.XLOOKUP(A9+200,TCL_Shells!$C$8:$C$32,TCL_Shells!$E$8:E$32)</f>
        <v>47</v>
      </c>
      <c r="F9" s="9" cm="1">
        <f t="array" ref="F9">_xlfn.XLOOKUP(A9+200,TCL_Shells!$C$8:$C$32,TCL_Shells!$F$8:F$32)</f>
        <v>33</v>
      </c>
      <c r="G9" s="10" cm="1">
        <f t="array" ref="G9">_xlfn.XLOOKUP(A9+200,TCL_Shells!$C$8:$C$32,TCL_Shells!$G$8:G$32)</f>
        <v>34</v>
      </c>
      <c r="H9" s="9">
        <f ca="1">_xlfn.XLOOKUP(A9,M_Floor!$A$8:$A$34,M_Floor!$O$8:$O$34)</f>
        <v>4.3000000000000007</v>
      </c>
      <c r="I9" s="9">
        <f ca="1">_xlfn.XLOOKUP(A9,M_Floor!$A$8:$A$34,M_Floor!$P$8:$P$34)</f>
        <v>5.6199999999999992</v>
      </c>
      <c r="J9" s="9">
        <v>0</v>
      </c>
      <c r="K9" s="10">
        <f>2.7+0.15/2-1.55</f>
        <v>1.2250000000000003</v>
      </c>
      <c r="L9" s="9">
        <v>0.15</v>
      </c>
      <c r="M9" s="13">
        <f t="shared" ref="M9:M23" ca="1" si="0">L9/H9</f>
        <v>3.4883720930232551E-2</v>
      </c>
      <c r="N9" s="13">
        <f t="shared" ref="N9:N23" ca="1" si="1">L9/I9</f>
        <v>2.6690391459074737E-2</v>
      </c>
      <c r="O9" s="13">
        <f t="shared" ref="O9:O23" ca="1" si="2">J9/H9</f>
        <v>0</v>
      </c>
      <c r="P9" s="13">
        <f t="shared" ref="P9:P23" ca="1" si="3">K9/I9</f>
        <v>0.2179715302491104</v>
      </c>
      <c r="Q9" s="14">
        <f>'B_Material properties'!$F$9</f>
        <v>1500000000</v>
      </c>
      <c r="R9" s="14">
        <f>'B_Material properties'!$F$10</f>
        <v>500000000</v>
      </c>
      <c r="S9" s="14">
        <f t="shared" ref="S9:S23" si="4">IF(J9=0,1,IF(C9="Barrel",($C$29*M9+$D$29)*(O9^(M9*$E$29+$F$29)),($G$30*M9+$H$30)*LN(O9)+$I$30*M9+$J$30))*Q9</f>
        <v>1500000000</v>
      </c>
      <c r="T9" s="130">
        <f t="shared" ref="T9:T23" ca="1" si="5">IF(K9=0,1,IF(C9="Barrel",($C$29*N9+$D$29)*(P9^($E$29*N9+$F$29)),($G$30*N9+$H$30)*LN(P9)+$I$30*N9+$J$30))*Q9</f>
        <v>309154.10164914379</v>
      </c>
      <c r="U9" s="14">
        <f t="shared" ref="U9:U23" si="6">IF(J9=0,0,(IF(C9="Barrel",($K$29*M9+$L$29)*O9+$M$29*M9+$N$29,($O$30*M9+$P$30)*O9^2+($K$30*M9+$L$30)*O9+$M$30*M9+$N$30)))*R9</f>
        <v>0</v>
      </c>
      <c r="V9" s="14">
        <f t="shared" ref="V9:V23" ca="1" si="7">IF(K9=0,0,(IF(D9="Barrel",($K$29*N9+$L$29)*P9+$M$29*N9+$N$29,($O$30*N9+$P$30)*P9^2+($K$30*N9+$L$30)*P9+$M$30*N9+$N$30)))*R9</f>
        <v>135768162.87445676</v>
      </c>
      <c r="W9" s="14">
        <f t="shared" ref="W9:W23" ca="1" si="8">IF(MIN(U9:V9)&gt;0,MIN(U9:V9),MAX(U9:V9))</f>
        <v>135768162.87445676</v>
      </c>
      <c r="X9" s="20">
        <f t="shared" ref="X9:X23" ca="1" si="9">IF(K9&gt;0,(-I9/2*K9+(I9/2+L9)*(K9+L9))*PI()/2,I9*L9)</f>
        <v>0.98606739414549605</v>
      </c>
      <c r="Y9" s="20">
        <f t="shared" ref="Y9:Y23" ca="1" si="10">I9*L9</f>
        <v>0.84299999999999986</v>
      </c>
      <c r="Z9" s="20">
        <f t="shared" ref="Z9:Z23" ca="1" si="11">X9/Y9</f>
        <v>1.1697122113232459</v>
      </c>
      <c r="AA9" s="20">
        <f t="shared" ref="AA9:AA23" ca="1" si="12">IF(J9&gt;0,(-H9/2*J9+(H9/2+L9)*(J9+L9))*PI()/2,H9*L9)</f>
        <v>0.64500000000000013</v>
      </c>
      <c r="AB9" s="20">
        <f t="shared" ref="AB9:AB23" ca="1" si="13">H9*L9</f>
        <v>0.64500000000000013</v>
      </c>
      <c r="AC9" s="20">
        <f t="shared" ref="AC9:AC23" ca="1" si="14">AA9/AB9</f>
        <v>1</v>
      </c>
      <c r="AD9" s="130">
        <f t="shared" ref="AD9:AD23" ca="1" si="15">Q9*Z9</f>
        <v>1754568316.9848688</v>
      </c>
      <c r="AE9" s="32">
        <f t="shared" ref="AE9:AE23" ca="1" si="16">Q9*AC9</f>
        <v>1500000000</v>
      </c>
      <c r="AF9" s="33">
        <f t="shared" ref="AF9:AF23" ca="1" si="17">IF(ISERROR(FIND("X",B9)),AD9,S9)</f>
        <v>1754568316.9848688</v>
      </c>
      <c r="AG9" s="14">
        <f t="shared" ref="AG9:AG23" ca="1" si="18">IF(ISERROR(FIND("Y",B9)),AE9,T9)</f>
        <v>309154.10164914379</v>
      </c>
      <c r="AH9" s="34">
        <f t="shared" ref="AH9:AH23" ca="1" si="19">W9</f>
        <v>135768162.87445676</v>
      </c>
    </row>
    <row r="10" spans="1:41" x14ac:dyDescent="0.3">
      <c r="A10" s="9">
        <v>3</v>
      </c>
      <c r="B10" s="9" t="s">
        <v>13</v>
      </c>
      <c r="C10" s="9" t="s">
        <v>93</v>
      </c>
      <c r="D10" s="9">
        <f>_xlfn.XLOOKUP(A10+200,TCL_Shells!$C$8:$C$32,TCL_Shells!$D$8:$D$32)</f>
        <v>47</v>
      </c>
      <c r="E10" s="9" cm="1">
        <f t="array" ref="E10">_xlfn.XLOOKUP(A10+200,TCL_Shells!$C$8:$C$32,TCL_Shells!$E$8:E$32)</f>
        <v>48</v>
      </c>
      <c r="F10" s="9" cm="1">
        <f t="array" ref="F10">_xlfn.XLOOKUP(A10+200,TCL_Shells!$C$8:$C$32,TCL_Shells!$F$8:F$32)</f>
        <v>32</v>
      </c>
      <c r="G10" s="10" cm="1">
        <f t="array" ref="G10">_xlfn.XLOOKUP(A10+200,TCL_Shells!$C$8:$C$32,TCL_Shells!$G$8:G$32)</f>
        <v>33</v>
      </c>
      <c r="H10" s="9">
        <f ca="1">_xlfn.XLOOKUP(A10,M_Floor!$A$8:$A$34,M_Floor!$O$8:$O$34)</f>
        <v>2.5</v>
      </c>
      <c r="I10" s="9">
        <f ca="1">_xlfn.XLOOKUP(A10,M_Floor!$A$8:$A$34,M_Floor!$P$8:$P$34)</f>
        <v>5.6199999999999992</v>
      </c>
      <c r="J10" s="9">
        <v>0</v>
      </c>
      <c r="K10" s="10">
        <f>2.7+0.15/2-1.55</f>
        <v>1.2250000000000003</v>
      </c>
      <c r="L10" s="9">
        <v>0.15</v>
      </c>
      <c r="M10" s="13">
        <f t="shared" ca="1" si="0"/>
        <v>0.06</v>
      </c>
      <c r="N10" s="13">
        <f t="shared" ca="1" si="1"/>
        <v>2.6690391459074737E-2</v>
      </c>
      <c r="O10" s="13">
        <f t="shared" ca="1" si="2"/>
        <v>0</v>
      </c>
      <c r="P10" s="13">
        <f t="shared" ca="1" si="3"/>
        <v>0.2179715302491104</v>
      </c>
      <c r="Q10" s="14">
        <f>'B_Material properties'!$F$9</f>
        <v>1500000000</v>
      </c>
      <c r="R10" s="14">
        <f>'B_Material properties'!$F$10</f>
        <v>500000000</v>
      </c>
      <c r="S10" s="14">
        <f t="shared" si="4"/>
        <v>1500000000</v>
      </c>
      <c r="T10" s="130">
        <f t="shared" ca="1" si="5"/>
        <v>309154.10164914379</v>
      </c>
      <c r="U10" s="14">
        <f t="shared" si="6"/>
        <v>0</v>
      </c>
      <c r="V10" s="14">
        <f t="shared" ca="1" si="7"/>
        <v>135768162.87445676</v>
      </c>
      <c r="W10" s="14">
        <f t="shared" ca="1" si="8"/>
        <v>135768162.87445676</v>
      </c>
      <c r="X10" s="20">
        <f t="shared" ca="1" si="9"/>
        <v>0.98606739414549605</v>
      </c>
      <c r="Y10" s="20">
        <f t="shared" ca="1" si="10"/>
        <v>0.84299999999999986</v>
      </c>
      <c r="Z10" s="20">
        <f t="shared" ca="1" si="11"/>
        <v>1.1697122113232459</v>
      </c>
      <c r="AA10" s="20">
        <f t="shared" ca="1" si="12"/>
        <v>0.375</v>
      </c>
      <c r="AB10" s="20">
        <f t="shared" ca="1" si="13"/>
        <v>0.375</v>
      </c>
      <c r="AC10" s="20">
        <f t="shared" ca="1" si="14"/>
        <v>1</v>
      </c>
      <c r="AD10" s="130">
        <f t="shared" ca="1" si="15"/>
        <v>1754568316.9848688</v>
      </c>
      <c r="AE10" s="32">
        <f t="shared" ca="1" si="16"/>
        <v>1500000000</v>
      </c>
      <c r="AF10" s="33">
        <f t="shared" ca="1" si="17"/>
        <v>1754568316.9848688</v>
      </c>
      <c r="AG10" s="14">
        <f t="shared" ca="1" si="18"/>
        <v>309154.10164914379</v>
      </c>
      <c r="AH10" s="34">
        <f t="shared" ca="1" si="19"/>
        <v>135768162.87445676</v>
      </c>
    </row>
    <row r="11" spans="1:41" x14ac:dyDescent="0.3">
      <c r="A11" s="9">
        <v>4</v>
      </c>
      <c r="B11" s="9" t="s">
        <v>13</v>
      </c>
      <c r="C11" s="9" t="s">
        <v>93</v>
      </c>
      <c r="D11" s="9">
        <f>_xlfn.XLOOKUP(A11+200,TCL_Shells!$C$8:$C$32,TCL_Shells!$D$8:$D$32)</f>
        <v>48</v>
      </c>
      <c r="E11" s="9" cm="1">
        <f t="array" ref="E11">_xlfn.XLOOKUP(A11+200,TCL_Shells!$C$8:$C$32,TCL_Shells!$E$8:E$32)</f>
        <v>74</v>
      </c>
      <c r="F11" s="9" cm="1">
        <f t="array" ref="F11">_xlfn.XLOOKUP(A11+200,TCL_Shells!$C$8:$C$32,TCL_Shells!$F$8:F$32)</f>
        <v>75</v>
      </c>
      <c r="G11" s="10" cm="1">
        <f t="array" ref="G11">_xlfn.XLOOKUP(A11+200,TCL_Shells!$C$8:$C$32,TCL_Shells!$G$8:G$32)</f>
        <v>32</v>
      </c>
      <c r="H11" s="9">
        <f ca="1">_xlfn.XLOOKUP(A11,M_Floor!$A$8:$A$34,M_Floor!$O$8:$O$34)</f>
        <v>5.1699999999999982</v>
      </c>
      <c r="I11" s="9">
        <f ca="1">_xlfn.XLOOKUP(A11,M_Floor!$A$8:$A$34,M_Floor!$P$8:$P$34)</f>
        <v>5.6199999999999992</v>
      </c>
      <c r="J11" s="9">
        <v>0</v>
      </c>
      <c r="K11" s="10">
        <f>2.7+0.15/2-1.55</f>
        <v>1.2250000000000003</v>
      </c>
      <c r="L11" s="9">
        <v>0.15</v>
      </c>
      <c r="M11" s="13">
        <f t="shared" ca="1" si="0"/>
        <v>2.9013539651837533E-2</v>
      </c>
      <c r="N11" s="13">
        <f t="shared" ca="1" si="1"/>
        <v>2.6690391459074737E-2</v>
      </c>
      <c r="O11" s="13">
        <f t="shared" ca="1" si="2"/>
        <v>0</v>
      </c>
      <c r="P11" s="13">
        <f t="shared" ca="1" si="3"/>
        <v>0.2179715302491104</v>
      </c>
      <c r="Q11" s="14">
        <f>'B_Material properties'!$F$9</f>
        <v>1500000000</v>
      </c>
      <c r="R11" s="14">
        <f>'B_Material properties'!$F$10</f>
        <v>500000000</v>
      </c>
      <c r="S11" s="14">
        <f t="shared" si="4"/>
        <v>1500000000</v>
      </c>
      <c r="T11" s="130">
        <f t="shared" ca="1" si="5"/>
        <v>309154.10164914379</v>
      </c>
      <c r="U11" s="14">
        <f t="shared" si="6"/>
        <v>0</v>
      </c>
      <c r="V11" s="14">
        <f t="shared" ca="1" si="7"/>
        <v>135768162.87445676</v>
      </c>
      <c r="W11" s="14">
        <f t="shared" ca="1" si="8"/>
        <v>135768162.87445676</v>
      </c>
      <c r="X11" s="20">
        <f t="shared" ca="1" si="9"/>
        <v>0.98606739414549605</v>
      </c>
      <c r="Y11" s="20">
        <f t="shared" ca="1" si="10"/>
        <v>0.84299999999999986</v>
      </c>
      <c r="Z11" s="20">
        <f t="shared" ca="1" si="11"/>
        <v>1.1697122113232459</v>
      </c>
      <c r="AA11" s="20">
        <f t="shared" ca="1" si="12"/>
        <v>0.77549999999999975</v>
      </c>
      <c r="AB11" s="20">
        <f t="shared" ca="1" si="13"/>
        <v>0.77549999999999975</v>
      </c>
      <c r="AC11" s="20">
        <f t="shared" ca="1" si="14"/>
        <v>1</v>
      </c>
      <c r="AD11" s="130">
        <f t="shared" ca="1" si="15"/>
        <v>1754568316.9848688</v>
      </c>
      <c r="AE11" s="32">
        <f t="shared" ca="1" si="16"/>
        <v>1500000000</v>
      </c>
      <c r="AF11" s="33">
        <f t="shared" ca="1" si="17"/>
        <v>1754568316.9848688</v>
      </c>
      <c r="AG11" s="14">
        <f t="shared" ca="1" si="18"/>
        <v>309154.10164914379</v>
      </c>
      <c r="AH11" s="34">
        <f t="shared" ca="1" si="19"/>
        <v>135768162.87445676</v>
      </c>
    </row>
    <row r="12" spans="1:41" x14ac:dyDescent="0.3">
      <c r="A12" s="9">
        <v>5</v>
      </c>
      <c r="B12" s="9" t="s">
        <v>12</v>
      </c>
      <c r="C12" s="9" t="s">
        <v>93</v>
      </c>
      <c r="D12" s="9">
        <f>_xlfn.XLOOKUP(A12+200,TCL_Shells!$C$8:$C$32,TCL_Shells!$D$8:$D$32)</f>
        <v>62</v>
      </c>
      <c r="E12" s="9" cm="1">
        <f t="array" ref="E12">_xlfn.XLOOKUP(A12+200,TCL_Shells!$C$8:$C$32,TCL_Shells!$E$8:E$32)</f>
        <v>63</v>
      </c>
      <c r="F12" s="9" cm="1">
        <f t="array" ref="F12">_xlfn.XLOOKUP(A12+200,TCL_Shells!$C$8:$C$32,TCL_Shells!$F$8:F$32)</f>
        <v>94</v>
      </c>
      <c r="G12" s="10" cm="1">
        <f t="array" ref="G12">_xlfn.XLOOKUP(A12+200,TCL_Shells!$C$8:$C$32,TCL_Shells!$G$8:G$32)</f>
        <v>41</v>
      </c>
      <c r="H12" s="9">
        <f ca="1">_xlfn.XLOOKUP(A12,M_Floor!$A$8:$A$34,M_Floor!$O$8:$O$34)</f>
        <v>5.18</v>
      </c>
      <c r="I12" s="9">
        <f ca="1">_xlfn.XLOOKUP(A12,M_Floor!$A$8:$A$34,M_Floor!$P$8:$P$34)</f>
        <v>5.73</v>
      </c>
      <c r="J12" s="10">
        <f>2.7+0.15/2-1.55</f>
        <v>1.2250000000000003</v>
      </c>
      <c r="K12" s="10">
        <v>0</v>
      </c>
      <c r="L12" s="9">
        <v>0.15</v>
      </c>
      <c r="M12" s="13">
        <f t="shared" ca="1" si="0"/>
        <v>2.8957528957528959E-2</v>
      </c>
      <c r="N12" s="13">
        <f t="shared" ca="1" si="1"/>
        <v>2.6178010471204185E-2</v>
      </c>
      <c r="O12" s="13">
        <f t="shared" ca="1" si="2"/>
        <v>0.23648648648648657</v>
      </c>
      <c r="P12" s="13">
        <f t="shared" ca="1" si="3"/>
        <v>0</v>
      </c>
      <c r="Q12" s="14">
        <f>'B_Material properties'!$F$9</f>
        <v>1500000000</v>
      </c>
      <c r="R12" s="14">
        <f>'B_Material properties'!$F$10</f>
        <v>500000000</v>
      </c>
      <c r="S12" s="130">
        <f t="shared" ca="1" si="4"/>
        <v>456996.75574595266</v>
      </c>
      <c r="T12" s="14">
        <f t="shared" si="5"/>
        <v>1500000000</v>
      </c>
      <c r="U12" s="14">
        <f t="shared" ca="1" si="6"/>
        <v>351620872.24773031</v>
      </c>
      <c r="V12" s="14">
        <f t="shared" si="7"/>
        <v>0</v>
      </c>
      <c r="W12" s="14">
        <f t="shared" ca="1" si="8"/>
        <v>351620872.24773031</v>
      </c>
      <c r="X12" s="20">
        <f t="shared" ca="1" si="9"/>
        <v>0.85950000000000004</v>
      </c>
      <c r="Y12" s="20">
        <f t="shared" ca="1" si="10"/>
        <v>0.85950000000000004</v>
      </c>
      <c r="Z12" s="20">
        <f t="shared" ca="1" si="11"/>
        <v>1</v>
      </c>
      <c r="AA12" s="20">
        <f t="shared" ca="1" si="12"/>
        <v>0.93423111536126391</v>
      </c>
      <c r="AB12" s="20">
        <f t="shared" ca="1" si="13"/>
        <v>0.77699999999999991</v>
      </c>
      <c r="AC12" s="20">
        <f t="shared" ca="1" si="14"/>
        <v>1.2023566478265946</v>
      </c>
      <c r="AD12" s="14">
        <f t="shared" ca="1" si="15"/>
        <v>1500000000</v>
      </c>
      <c r="AE12" s="131">
        <f t="shared" ca="1" si="16"/>
        <v>1803534971.7398918</v>
      </c>
      <c r="AF12" s="33">
        <f ca="1">IF(ISERROR(FIND("X",B12)),AD12,S12)</f>
        <v>456996.75574595266</v>
      </c>
      <c r="AG12" s="14">
        <f t="shared" ca="1" si="18"/>
        <v>1803534971.7398918</v>
      </c>
      <c r="AH12" s="34">
        <f t="shared" ca="1" si="19"/>
        <v>351620872.24773031</v>
      </c>
    </row>
    <row r="13" spans="1:41" x14ac:dyDescent="0.3">
      <c r="A13" s="9">
        <v>6</v>
      </c>
      <c r="B13" s="9" t="s">
        <v>76</v>
      </c>
      <c r="C13" s="9" t="s">
        <v>94</v>
      </c>
      <c r="D13" s="9">
        <f>_xlfn.XLOOKUP(A13+200,TCL_Shells!$C$8:$C$32,TCL_Shells!$D$8:$D$32)</f>
        <v>302</v>
      </c>
      <c r="E13" s="9" cm="1">
        <f t="array" ref="E13">_xlfn.XLOOKUP(A13+200,TCL_Shells!$C$8:$C$32,TCL_Shells!$E$8:E$32)</f>
        <v>56</v>
      </c>
      <c r="F13" s="9" cm="1">
        <f t="array" ref="F13">_xlfn.XLOOKUP(A13+200,TCL_Shells!$C$8:$C$32,TCL_Shells!$F$8:F$32)</f>
        <v>301</v>
      </c>
      <c r="G13" s="10" cm="1">
        <f t="array" ref="G13">_xlfn.XLOOKUP(A13+200,TCL_Shells!$C$8:$C$32,TCL_Shells!$G$8:G$32)</f>
        <v>46</v>
      </c>
      <c r="H13" s="9">
        <f ca="1">_xlfn.XLOOKUP(A13,M_Floor!$A$8:$A$34,M_Floor!$O$8:$O$34)</f>
        <v>2.13</v>
      </c>
      <c r="I13" s="9">
        <f>_xlfn.XLOOKUP(A13,M_Floor!$A$8:$A$34,M_Floor!$P$8:$P$34)</f>
        <v>1.7500000000000004</v>
      </c>
      <c r="J13" s="9">
        <v>0.3</v>
      </c>
      <c r="K13" s="10">
        <v>0.3</v>
      </c>
      <c r="L13" s="9">
        <v>0.15</v>
      </c>
      <c r="M13" s="13">
        <f t="shared" ca="1" si="0"/>
        <v>7.0422535211267609E-2</v>
      </c>
      <c r="N13" s="13">
        <f t="shared" si="1"/>
        <v>8.5714285714285687E-2</v>
      </c>
      <c r="O13" s="13">
        <f t="shared" ca="1" si="2"/>
        <v>0.14084507042253522</v>
      </c>
      <c r="P13" s="13">
        <f t="shared" si="3"/>
        <v>0.17142857142857137</v>
      </c>
      <c r="Q13" s="14">
        <f>'B_Material properties'!$F$9</f>
        <v>1500000000</v>
      </c>
      <c r="R13" s="14">
        <f>'B_Material properties'!$F$10</f>
        <v>500000000</v>
      </c>
      <c r="S13" s="130">
        <f t="shared" ca="1" si="4"/>
        <v>959396995.90753078</v>
      </c>
      <c r="T13" s="130">
        <f t="shared" si="5"/>
        <v>975017078.19132566</v>
      </c>
      <c r="U13" s="14">
        <f t="shared" ca="1" si="6"/>
        <v>409235621.14603913</v>
      </c>
      <c r="V13" s="14">
        <f t="shared" si="7"/>
        <v>418350705.53935856</v>
      </c>
      <c r="W13" s="14">
        <f t="shared" ca="1" si="8"/>
        <v>409235621.14603913</v>
      </c>
      <c r="X13" s="20">
        <f t="shared" si="9"/>
        <v>0.31219576995048559</v>
      </c>
      <c r="Y13" s="20">
        <f t="shared" si="10"/>
        <v>0.26250000000000007</v>
      </c>
      <c r="Z13" s="20">
        <f t="shared" si="11"/>
        <v>1.1893172188589924</v>
      </c>
      <c r="AA13" s="20">
        <f t="shared" ca="1" si="12"/>
        <v>0.35696346526414008</v>
      </c>
      <c r="AB13" s="20">
        <f t="shared" ca="1" si="13"/>
        <v>0.31949999999999995</v>
      </c>
      <c r="AC13" s="20">
        <f t="shared" ca="1" si="14"/>
        <v>1.1172565422977783</v>
      </c>
      <c r="AD13" s="14">
        <f t="shared" si="15"/>
        <v>1783975828.2884886</v>
      </c>
      <c r="AE13" s="32">
        <f t="shared" ca="1" si="16"/>
        <v>1675884813.4466674</v>
      </c>
      <c r="AF13" s="33">
        <f t="shared" ca="1" si="17"/>
        <v>959396995.90753078</v>
      </c>
      <c r="AG13" s="14">
        <f t="shared" si="18"/>
        <v>975017078.19132566</v>
      </c>
      <c r="AH13" s="34">
        <f t="shared" ca="1" si="19"/>
        <v>409235621.14603913</v>
      </c>
    </row>
    <row r="14" spans="1:41" x14ac:dyDescent="0.3">
      <c r="A14" s="9">
        <v>7</v>
      </c>
      <c r="B14" s="9" t="s">
        <v>76</v>
      </c>
      <c r="C14" s="9" t="s">
        <v>94</v>
      </c>
      <c r="D14" s="9">
        <f>_xlfn.XLOOKUP(A14+200,TCL_Shells!$C$8:$C$32,TCL_Shells!$D$8:$D$32)</f>
        <v>303</v>
      </c>
      <c r="E14" s="9" cm="1">
        <f t="array" ref="E14">_xlfn.XLOOKUP(A14+200,TCL_Shells!$C$8:$C$32,TCL_Shells!$E$8:E$32)</f>
        <v>304</v>
      </c>
      <c r="F14" s="9" cm="1">
        <f t="array" ref="F14">_xlfn.XLOOKUP(A14+200,TCL_Shells!$C$8:$C$32,TCL_Shells!$F$8:F$32)</f>
        <v>96</v>
      </c>
      <c r="G14" s="10" cm="1">
        <f t="array" ref="G14">_xlfn.XLOOKUP(A14+200,TCL_Shells!$C$8:$C$32,TCL_Shells!$G$8:G$32)</f>
        <v>95</v>
      </c>
      <c r="H14" s="9">
        <f ca="1">_xlfn.XLOOKUP(A14,M_Floor!$A$8:$A$34,M_Floor!$O$8:$O$34)</f>
        <v>2.5</v>
      </c>
      <c r="I14" s="9">
        <f ca="1">_xlfn.XLOOKUP(A14,M_Floor!$A$8:$A$34,M_Floor!$P$8:$P$34)</f>
        <v>1.7500000000000004</v>
      </c>
      <c r="J14" s="9">
        <v>0.4</v>
      </c>
      <c r="K14" s="10">
        <v>0</v>
      </c>
      <c r="L14" s="9">
        <v>0.15</v>
      </c>
      <c r="M14" s="13">
        <f t="shared" ca="1" si="0"/>
        <v>0.06</v>
      </c>
      <c r="N14" s="13">
        <f t="shared" ca="1" si="1"/>
        <v>8.5714285714285687E-2</v>
      </c>
      <c r="O14" s="13">
        <f t="shared" ca="1" si="2"/>
        <v>0.16</v>
      </c>
      <c r="P14" s="13">
        <f t="shared" ca="1" si="3"/>
        <v>0</v>
      </c>
      <c r="Q14" s="14">
        <f>'B_Material properties'!$F$9</f>
        <v>1500000000</v>
      </c>
      <c r="R14" s="14">
        <f>'B_Material properties'!$F$10</f>
        <v>500000000</v>
      </c>
      <c r="S14" s="130">
        <f t="shared" ca="1" si="4"/>
        <v>861183694.93502688</v>
      </c>
      <c r="T14" s="130">
        <f t="shared" si="5"/>
        <v>1500000000</v>
      </c>
      <c r="U14" s="14">
        <f t="shared" ca="1" si="6"/>
        <v>336823496</v>
      </c>
      <c r="V14" s="14">
        <f t="shared" si="7"/>
        <v>0</v>
      </c>
      <c r="W14" s="14">
        <f t="shared" ca="1" si="8"/>
        <v>336823496</v>
      </c>
      <c r="X14" s="20">
        <f t="shared" ca="1" si="9"/>
        <v>0.26250000000000007</v>
      </c>
      <c r="Y14" s="20">
        <f t="shared" ca="1" si="10"/>
        <v>0.26250000000000007</v>
      </c>
      <c r="Z14" s="20">
        <f t="shared" ca="1" si="11"/>
        <v>1</v>
      </c>
      <c r="AA14" s="20">
        <f t="shared" ca="1" si="12"/>
        <v>0.42411500823462212</v>
      </c>
      <c r="AB14" s="20">
        <f t="shared" ca="1" si="13"/>
        <v>0.375</v>
      </c>
      <c r="AC14" s="20">
        <f t="shared" ca="1" si="14"/>
        <v>1.1309733552923256</v>
      </c>
      <c r="AD14" s="14">
        <f t="shared" ca="1" si="15"/>
        <v>1500000000</v>
      </c>
      <c r="AE14" s="32">
        <f t="shared" ca="1" si="16"/>
        <v>1696460032.9384882</v>
      </c>
      <c r="AF14" s="33">
        <f t="shared" ca="1" si="17"/>
        <v>861183694.93502688</v>
      </c>
      <c r="AG14" s="14">
        <f t="shared" si="18"/>
        <v>1500000000</v>
      </c>
      <c r="AH14" s="34">
        <f t="shared" ca="1" si="19"/>
        <v>336823496</v>
      </c>
    </row>
    <row r="15" spans="1:41" x14ac:dyDescent="0.3">
      <c r="A15" s="9">
        <v>8</v>
      </c>
      <c r="B15" s="9" t="s">
        <v>12</v>
      </c>
      <c r="C15" s="9" t="s">
        <v>93</v>
      </c>
      <c r="D15" s="9">
        <f>_xlfn.XLOOKUP(A15+200,TCL_Shells!$C$8:$C$32,TCL_Shells!$D$8:$D$32)</f>
        <v>53</v>
      </c>
      <c r="E15" s="9" cm="1">
        <f t="array" ref="E15">_xlfn.XLOOKUP(A15+200,TCL_Shells!$C$8:$C$32,TCL_Shells!$E$8:E$32)</f>
        <v>22</v>
      </c>
      <c r="F15" s="9" cm="1">
        <f t="array" ref="F15">_xlfn.XLOOKUP(A15+200,TCL_Shells!$C$8:$C$32,TCL_Shells!$F$8:F$32)</f>
        <v>23</v>
      </c>
      <c r="G15" s="10" cm="1">
        <f t="array" ref="G15">_xlfn.XLOOKUP(A15+200,TCL_Shells!$C$8:$C$32,TCL_Shells!$G$8:G$32)</f>
        <v>96</v>
      </c>
      <c r="H15" s="9">
        <f ca="1">_xlfn.XLOOKUP(A15,M_Floor!$A$8:$A$34,M_Floor!$O$8:$O$34)</f>
        <v>5.1699999999999982</v>
      </c>
      <c r="I15" s="9">
        <f ca="1">_xlfn.XLOOKUP(A15,M_Floor!$A$8:$A$34,M_Floor!$P$8:$P$34)</f>
        <v>4.2</v>
      </c>
      <c r="J15" s="10">
        <f>2.7+0.15/2-1.55</f>
        <v>1.2250000000000003</v>
      </c>
      <c r="K15" s="10">
        <v>0</v>
      </c>
      <c r="L15" s="9">
        <v>0.15</v>
      </c>
      <c r="M15" s="13">
        <f t="shared" ca="1" si="0"/>
        <v>2.9013539651837533E-2</v>
      </c>
      <c r="N15" s="13">
        <f t="shared" ca="1" si="1"/>
        <v>3.5714285714285712E-2</v>
      </c>
      <c r="O15" s="13">
        <f t="shared" ca="1" si="2"/>
        <v>0.23694390715667327</v>
      </c>
      <c r="P15" s="13">
        <f t="shared" ca="1" si="3"/>
        <v>0</v>
      </c>
      <c r="Q15" s="14">
        <f>'B_Material properties'!$F$9</f>
        <v>1500000000</v>
      </c>
      <c r="R15" s="14">
        <f>'B_Material properties'!$F$10</f>
        <v>500000000</v>
      </c>
      <c r="S15" s="130">
        <f t="shared" ca="1" si="4"/>
        <v>460639.61156666197</v>
      </c>
      <c r="T15" s="14">
        <f t="shared" si="5"/>
        <v>1500000000</v>
      </c>
      <c r="U15" s="14">
        <f t="shared" ca="1" si="6"/>
        <v>351229786.11166179</v>
      </c>
      <c r="V15" s="14">
        <f t="shared" si="7"/>
        <v>0</v>
      </c>
      <c r="W15" s="14">
        <f t="shared" ca="1" si="8"/>
        <v>351229786.11166179</v>
      </c>
      <c r="X15" s="20">
        <f t="shared" ca="1" si="9"/>
        <v>0.63</v>
      </c>
      <c r="Y15" s="20">
        <f t="shared" ca="1" si="10"/>
        <v>0.63</v>
      </c>
      <c r="Z15" s="20">
        <f t="shared" ca="1" si="11"/>
        <v>1</v>
      </c>
      <c r="AA15" s="20">
        <f t="shared" ca="1" si="12"/>
        <v>0.93305301811616759</v>
      </c>
      <c r="AB15" s="20">
        <f t="shared" ca="1" si="13"/>
        <v>0.77549999999999975</v>
      </c>
      <c r="AC15" s="20">
        <f t="shared" ca="1" si="14"/>
        <v>1.2031631439280051</v>
      </c>
      <c r="AD15" s="14">
        <f t="shared" ca="1" si="15"/>
        <v>1500000000</v>
      </c>
      <c r="AE15" s="131">
        <f t="shared" ca="1" si="16"/>
        <v>1804744715.8920076</v>
      </c>
      <c r="AF15" s="33">
        <f t="shared" ca="1" si="17"/>
        <v>460639.61156666197</v>
      </c>
      <c r="AG15" s="14">
        <f t="shared" ca="1" si="18"/>
        <v>1804744715.8920076</v>
      </c>
      <c r="AH15" s="34">
        <f t="shared" ca="1" si="19"/>
        <v>351229786.11166179</v>
      </c>
    </row>
    <row r="16" spans="1:41" x14ac:dyDescent="0.3">
      <c r="A16" s="15">
        <v>9</v>
      </c>
      <c r="B16" s="9" t="s">
        <v>12</v>
      </c>
      <c r="C16" s="9" t="s">
        <v>93</v>
      </c>
      <c r="D16" s="9">
        <f>_xlfn.XLOOKUP(A16+200,TCL_Shells!$C$8:$C$32,TCL_Shells!$D$8:$D$32)</f>
        <v>305</v>
      </c>
      <c r="E16" s="9" cm="1">
        <f t="array" ref="E16">_xlfn.XLOOKUP(A16+200,TCL_Shells!$C$8:$C$32,TCL_Shells!$E$8:E$32)</f>
        <v>306</v>
      </c>
      <c r="F16" s="9" cm="1">
        <f t="array" ref="F16">_xlfn.XLOOKUP(A16+200,TCL_Shells!$C$8:$C$32,TCL_Shells!$F$8:F$32)</f>
        <v>56</v>
      </c>
      <c r="G16" s="10" cm="1">
        <f t="array" ref="G16">_xlfn.XLOOKUP(A16+200,TCL_Shells!$C$8:$C$32,TCL_Shells!$G$8:G$32)</f>
        <v>302</v>
      </c>
      <c r="H16" s="9">
        <f ca="1">_xlfn.XLOOKUP(A16,M_Floor!$A$8:$A$34,M_Floor!$O$8:$O$34)</f>
        <v>2.13</v>
      </c>
      <c r="I16" s="9">
        <f ca="1">_xlfn.XLOOKUP(A16,M_Floor!$A$8:$A$34,M_Floor!$P$8:$P$34)</f>
        <v>2.1</v>
      </c>
      <c r="J16" s="9">
        <v>0.3</v>
      </c>
      <c r="K16" s="10">
        <v>0</v>
      </c>
      <c r="L16" s="9">
        <v>0.15</v>
      </c>
      <c r="M16" s="13">
        <f t="shared" ca="1" si="0"/>
        <v>7.0422535211267609E-2</v>
      </c>
      <c r="N16" s="13">
        <f t="shared" ca="1" si="1"/>
        <v>7.1428571428571425E-2</v>
      </c>
      <c r="O16" s="13">
        <f t="shared" ca="1" si="2"/>
        <v>0.14084507042253522</v>
      </c>
      <c r="P16" s="13">
        <f t="shared" ca="1" si="3"/>
        <v>0</v>
      </c>
      <c r="Q16" s="14">
        <f>'B_Material properties'!$F$9</f>
        <v>1500000000</v>
      </c>
      <c r="R16" s="14">
        <f>'B_Material properties'!$F$10</f>
        <v>500000000</v>
      </c>
      <c r="S16" s="130">
        <f t="shared" ca="1" si="4"/>
        <v>2342462.8003618787</v>
      </c>
      <c r="T16" s="14">
        <f t="shared" si="5"/>
        <v>1500000000</v>
      </c>
      <c r="U16" s="14">
        <f t="shared" ca="1" si="6"/>
        <v>443483475.5008927</v>
      </c>
      <c r="V16" s="14">
        <f t="shared" si="7"/>
        <v>0</v>
      </c>
      <c r="W16" s="14">
        <f t="shared" ca="1" si="8"/>
        <v>443483475.5008927</v>
      </c>
      <c r="X16" s="20">
        <f t="shared" ca="1" si="9"/>
        <v>0.315</v>
      </c>
      <c r="Y16" s="20">
        <f t="shared" ca="1" si="10"/>
        <v>0.315</v>
      </c>
      <c r="Z16" s="20">
        <f t="shared" ca="1" si="11"/>
        <v>1</v>
      </c>
      <c r="AA16" s="20">
        <f t="shared" ca="1" si="12"/>
        <v>0.35696346526414008</v>
      </c>
      <c r="AB16" s="20">
        <f t="shared" ca="1" si="13"/>
        <v>0.31949999999999995</v>
      </c>
      <c r="AC16" s="20">
        <f t="shared" ca="1" si="14"/>
        <v>1.1172565422977783</v>
      </c>
      <c r="AD16" s="14">
        <f t="shared" ca="1" si="15"/>
        <v>1500000000</v>
      </c>
      <c r="AE16" s="131">
        <f t="shared" ca="1" si="16"/>
        <v>1675884813.4466674</v>
      </c>
      <c r="AF16" s="33">
        <f t="shared" ca="1" si="17"/>
        <v>2342462.8003618787</v>
      </c>
      <c r="AG16" s="14">
        <f t="shared" ca="1" si="18"/>
        <v>1675884813.4466674</v>
      </c>
      <c r="AH16" s="34">
        <f t="shared" ca="1" si="19"/>
        <v>443483475.5008927</v>
      </c>
    </row>
    <row r="17" spans="1:34" x14ac:dyDescent="0.3">
      <c r="A17" s="15">
        <v>10</v>
      </c>
      <c r="B17" s="9" t="s">
        <v>12</v>
      </c>
      <c r="C17" s="9" t="s">
        <v>94</v>
      </c>
      <c r="D17" s="9">
        <f>_xlfn.XLOOKUP(A17+200,TCL_Shells!$C$8:$C$32,TCL_Shells!$D$8:$D$32)</f>
        <v>307</v>
      </c>
      <c r="E17" s="9" cm="1">
        <f t="array" ref="E17">_xlfn.XLOOKUP(A17+200,TCL_Shells!$C$8:$C$32,TCL_Shells!$E$8:E$32)</f>
        <v>53</v>
      </c>
      <c r="F17" s="9" cm="1">
        <f t="array" ref="F17">_xlfn.XLOOKUP(A17+200,TCL_Shells!$C$8:$C$32,TCL_Shells!$F$8:F$32)</f>
        <v>304</v>
      </c>
      <c r="G17" s="10" cm="1">
        <f t="array" ref="G17">_xlfn.XLOOKUP(A17+200,TCL_Shells!$C$8:$C$32,TCL_Shells!$G$8:G$32)</f>
        <v>303</v>
      </c>
      <c r="H17" s="9">
        <f ca="1">_xlfn.XLOOKUP(A17,M_Floor!$A$8:$A$34,M_Floor!$O$8:$O$34)</f>
        <v>2.5</v>
      </c>
      <c r="I17" s="9">
        <f ca="1">_xlfn.XLOOKUP(A17,M_Floor!$A$8:$A$34,M_Floor!$P$8:$P$34)</f>
        <v>2.2750000000000004</v>
      </c>
      <c r="J17" s="9">
        <v>0.4</v>
      </c>
      <c r="K17" s="10">
        <v>0.4</v>
      </c>
      <c r="L17" s="9">
        <v>0.15</v>
      </c>
      <c r="M17" s="13">
        <f t="shared" ca="1" si="0"/>
        <v>0.06</v>
      </c>
      <c r="N17" s="13">
        <f t="shared" ca="1" si="1"/>
        <v>6.5934065934065922E-2</v>
      </c>
      <c r="O17" s="13">
        <f t="shared" ca="1" si="2"/>
        <v>0.16</v>
      </c>
      <c r="P17" s="13">
        <f t="shared" ca="1" si="3"/>
        <v>0.17582417582417581</v>
      </c>
      <c r="Q17" s="14">
        <f>'B_Material properties'!$F$9</f>
        <v>1500000000</v>
      </c>
      <c r="R17" s="14">
        <f>'B_Material properties'!$F$10</f>
        <v>500000000</v>
      </c>
      <c r="S17" s="130">
        <f t="shared" ca="1" si="4"/>
        <v>861183694.93502688</v>
      </c>
      <c r="T17" s="14">
        <f t="shared" ca="1" si="5"/>
        <v>862402390.95673382</v>
      </c>
      <c r="U17" s="14">
        <f t="shared" ca="1" si="6"/>
        <v>336823496</v>
      </c>
      <c r="V17" s="14">
        <f t="shared" ca="1" si="7"/>
        <v>335391416.13729823</v>
      </c>
      <c r="W17" s="14">
        <f t="shared" ca="1" si="8"/>
        <v>335391416.13729823</v>
      </c>
      <c r="X17" s="20">
        <f t="shared" ca="1" si="9"/>
        <v>0.39760782021995827</v>
      </c>
      <c r="Y17" s="20">
        <f t="shared" ca="1" si="10"/>
        <v>0.34125000000000005</v>
      </c>
      <c r="Z17" s="20">
        <f t="shared" ca="1" si="11"/>
        <v>1.1651511215236872</v>
      </c>
      <c r="AA17" s="20">
        <f t="shared" ca="1" si="12"/>
        <v>0.42411500823462212</v>
      </c>
      <c r="AB17" s="20">
        <f t="shared" ca="1" si="13"/>
        <v>0.375</v>
      </c>
      <c r="AC17" s="20">
        <f t="shared" ca="1" si="14"/>
        <v>1.1309733552923256</v>
      </c>
      <c r="AD17" s="14">
        <f t="shared" ca="1" si="15"/>
        <v>1747726682.2855308</v>
      </c>
      <c r="AE17" s="131">
        <f t="shared" ca="1" si="16"/>
        <v>1696460032.9384882</v>
      </c>
      <c r="AF17" s="33">
        <f t="shared" ca="1" si="17"/>
        <v>861183694.93502688</v>
      </c>
      <c r="AG17" s="14">
        <f t="shared" ca="1" si="18"/>
        <v>1696460032.9384882</v>
      </c>
      <c r="AH17" s="34">
        <f t="shared" ca="1" si="19"/>
        <v>335391416.13729823</v>
      </c>
    </row>
    <row r="18" spans="1:34" x14ac:dyDescent="0.3">
      <c r="A18" s="15">
        <v>11</v>
      </c>
      <c r="B18" s="9" t="s">
        <v>76</v>
      </c>
      <c r="C18" s="9" t="s">
        <v>94</v>
      </c>
      <c r="D18" s="9">
        <f>_xlfn.XLOOKUP(A18+200,TCL_Shells!$C$8:$C$32,TCL_Shells!$D$8:$D$32)</f>
        <v>8</v>
      </c>
      <c r="E18" s="9" cm="1">
        <f t="array" ref="E18">_xlfn.XLOOKUP(A18+200,TCL_Shells!$C$8:$C$32,TCL_Shells!$E$8:E$32)</f>
        <v>308</v>
      </c>
      <c r="F18" s="9" cm="1">
        <f t="array" ref="F18">_xlfn.XLOOKUP(A18+200,TCL_Shells!$C$8:$C$32,TCL_Shells!$F$8:F$32)</f>
        <v>306</v>
      </c>
      <c r="G18" s="10" cm="1">
        <f t="array" ref="G18">_xlfn.XLOOKUP(A18+200,TCL_Shells!$C$8:$C$32,TCL_Shells!$G$8:G$32)</f>
        <v>305</v>
      </c>
      <c r="H18" s="9">
        <f ca="1">_xlfn.XLOOKUP(A18,M_Floor!$A$8:$A$34,M_Floor!$O$8:$O$34)</f>
        <v>2.13</v>
      </c>
      <c r="I18" s="9">
        <f ca="1">_xlfn.XLOOKUP(A18,M_Floor!$A$8:$A$34,M_Floor!$P$8:$P$34)</f>
        <v>1.88</v>
      </c>
      <c r="J18" s="9">
        <v>0.4</v>
      </c>
      <c r="K18" s="16">
        <v>0.4</v>
      </c>
      <c r="L18" s="9">
        <v>0.15</v>
      </c>
      <c r="M18" s="13">
        <f t="shared" ca="1" si="0"/>
        <v>7.0422535211267609E-2</v>
      </c>
      <c r="N18" s="13">
        <f t="shared" ca="1" si="1"/>
        <v>7.9787234042553196E-2</v>
      </c>
      <c r="O18" s="13">
        <f t="shared" ca="1" si="2"/>
        <v>0.18779342723004697</v>
      </c>
      <c r="P18" s="13">
        <f t="shared" ca="1" si="3"/>
        <v>0.21276595744680854</v>
      </c>
      <c r="Q18" s="14">
        <f>'B_Material properties'!$F$9</f>
        <v>1500000000</v>
      </c>
      <c r="R18" s="14">
        <f>'B_Material properties'!$F$10</f>
        <v>500000000</v>
      </c>
      <c r="S18" s="130">
        <f t="shared" ca="1" si="4"/>
        <v>864123379.0807904</v>
      </c>
      <c r="T18" s="130">
        <f t="shared" ca="1" si="5"/>
        <v>869434314.30114734</v>
      </c>
      <c r="U18" s="14">
        <f t="shared" ca="1" si="6"/>
        <v>334052160.26703101</v>
      </c>
      <c r="V18" s="14">
        <f t="shared" ca="1" si="7"/>
        <v>330234631.41596752</v>
      </c>
      <c r="W18" s="14">
        <f t="shared" ca="1" si="8"/>
        <v>330234631.41596752</v>
      </c>
      <c r="X18" s="20">
        <f t="shared" ca="1" si="9"/>
        <v>0.35107297903865925</v>
      </c>
      <c r="Y18" s="20">
        <f t="shared" ca="1" si="10"/>
        <v>0.28199999999999997</v>
      </c>
      <c r="Z18" s="20">
        <f t="shared" ca="1" si="11"/>
        <v>1.2449396419810612</v>
      </c>
      <c r="AA18" s="20">
        <f t="shared" ca="1" si="12"/>
        <v>0.38052541016606373</v>
      </c>
      <c r="AB18" s="20">
        <f t="shared" ca="1" si="13"/>
        <v>0.31949999999999995</v>
      </c>
      <c r="AC18" s="20">
        <f t="shared" ca="1" si="14"/>
        <v>1.1910028487200743</v>
      </c>
      <c r="AD18" s="14">
        <f t="shared" ca="1" si="15"/>
        <v>1867409462.9715917</v>
      </c>
      <c r="AE18" s="32">
        <f t="shared" ca="1" si="16"/>
        <v>1786504273.0801115</v>
      </c>
      <c r="AF18" s="33">
        <f t="shared" ca="1" si="17"/>
        <v>864123379.0807904</v>
      </c>
      <c r="AG18" s="14">
        <f t="shared" ca="1" si="18"/>
        <v>869434314.30114734</v>
      </c>
      <c r="AH18" s="34">
        <f t="shared" ca="1" si="19"/>
        <v>330234631.41596752</v>
      </c>
    </row>
    <row r="19" spans="1:34" x14ac:dyDescent="0.3">
      <c r="A19" s="15">
        <v>12</v>
      </c>
      <c r="B19" s="9" t="s">
        <v>76</v>
      </c>
      <c r="C19" s="9" t="s">
        <v>94</v>
      </c>
      <c r="D19" s="9">
        <f>_xlfn.XLOOKUP(A19+200,TCL_Shells!$C$8:$C$32,TCL_Shells!$D$8:$D$32)</f>
        <v>308</v>
      </c>
      <c r="E19" s="9" cm="1">
        <f t="array" ref="E19">_xlfn.XLOOKUP(A19+200,TCL_Shells!$C$8:$C$32,TCL_Shells!$E$8:E$32)</f>
        <v>309</v>
      </c>
      <c r="F19" s="9" cm="1">
        <f t="array" ref="F19">_xlfn.XLOOKUP(A19+200,TCL_Shells!$C$8:$C$32,TCL_Shells!$F$8:F$32)</f>
        <v>307</v>
      </c>
      <c r="G19" s="10" cm="1">
        <f t="array" ref="G19">_xlfn.XLOOKUP(A19+200,TCL_Shells!$C$8:$C$32,TCL_Shells!$G$8:G$32)</f>
        <v>306</v>
      </c>
      <c r="H19" s="9">
        <f ca="1">_xlfn.XLOOKUP(A19,M_Floor!$A$8:$A$34,M_Floor!$O$8:$O$34)</f>
        <v>2.1700000000000008</v>
      </c>
      <c r="I19" s="9">
        <f ca="1">_xlfn.XLOOKUP(A19,M_Floor!$A$8:$A$34,M_Floor!$P$8:$P$34)</f>
        <v>1.88</v>
      </c>
      <c r="J19" s="9">
        <v>0.4</v>
      </c>
      <c r="K19" s="16">
        <v>0.4</v>
      </c>
      <c r="L19" s="9">
        <v>0.15</v>
      </c>
      <c r="M19" s="13">
        <f t="shared" ca="1" si="0"/>
        <v>6.9124423963133619E-2</v>
      </c>
      <c r="N19" s="13">
        <f t="shared" ca="1" si="1"/>
        <v>7.9787234042553196E-2</v>
      </c>
      <c r="O19" s="13">
        <f t="shared" ca="1" si="2"/>
        <v>0.18433179723502299</v>
      </c>
      <c r="P19" s="13">
        <f t="shared" ca="1" si="3"/>
        <v>0.21276595744680854</v>
      </c>
      <c r="Q19" s="14">
        <f>'B_Material properties'!$F$9</f>
        <v>1500000000</v>
      </c>
      <c r="R19" s="14">
        <f>'B_Material properties'!$F$10</f>
        <v>500000000</v>
      </c>
      <c r="S19" s="130">
        <f t="shared" ca="1" si="4"/>
        <v>863563118.96876681</v>
      </c>
      <c r="T19" s="130">
        <f t="shared" ca="1" si="5"/>
        <v>869434314.30114734</v>
      </c>
      <c r="U19" s="14">
        <f t="shared" ca="1" si="6"/>
        <v>334466765.42399907</v>
      </c>
      <c r="V19" s="14">
        <f t="shared" ca="1" si="7"/>
        <v>330234631.41596752</v>
      </c>
      <c r="W19" s="14">
        <f t="shared" ca="1" si="8"/>
        <v>330234631.41596752</v>
      </c>
      <c r="X19" s="20">
        <f t="shared" ca="1" si="9"/>
        <v>0.35107297903865925</v>
      </c>
      <c r="Y19" s="20">
        <f t="shared" ca="1" si="10"/>
        <v>0.28199999999999997</v>
      </c>
      <c r="Z19" s="20">
        <f t="shared" ca="1" si="11"/>
        <v>1.2449396419810612</v>
      </c>
      <c r="AA19" s="20">
        <f t="shared" ca="1" si="12"/>
        <v>0.38523779914644851</v>
      </c>
      <c r="AB19" s="20">
        <f t="shared" ca="1" si="13"/>
        <v>0.32550000000000012</v>
      </c>
      <c r="AC19" s="20">
        <f t="shared" ca="1" si="14"/>
        <v>1.1835262646588276</v>
      </c>
      <c r="AD19" s="14">
        <f t="shared" ca="1" si="15"/>
        <v>1867409462.9715917</v>
      </c>
      <c r="AE19" s="32">
        <f t="shared" ca="1" si="16"/>
        <v>1775289396.9882414</v>
      </c>
      <c r="AF19" s="33">
        <f t="shared" ca="1" si="17"/>
        <v>863563118.96876681</v>
      </c>
      <c r="AG19" s="14">
        <f t="shared" ca="1" si="18"/>
        <v>869434314.30114734</v>
      </c>
      <c r="AH19" s="34">
        <f t="shared" ca="1" si="19"/>
        <v>330234631.41596752</v>
      </c>
    </row>
    <row r="20" spans="1:34" x14ac:dyDescent="0.3">
      <c r="A20" s="9">
        <v>13</v>
      </c>
      <c r="B20" s="9" t="s">
        <v>76</v>
      </c>
      <c r="C20" s="9" t="s">
        <v>94</v>
      </c>
      <c r="D20" s="9">
        <f>_xlfn.XLOOKUP(A20+200,TCL_Shells!$C$8:$C$32,TCL_Shells!$D$8:$D$32)</f>
        <v>309</v>
      </c>
      <c r="E20" s="9" cm="1">
        <f t="array" ref="E20">_xlfn.XLOOKUP(A20+200,TCL_Shells!$C$8:$C$32,TCL_Shells!$E$8:E$32)</f>
        <v>11</v>
      </c>
      <c r="F20" s="9" cm="1">
        <f t="array" ref="F20">_xlfn.XLOOKUP(A20+200,TCL_Shells!$C$8:$C$32,TCL_Shells!$F$8:F$32)</f>
        <v>101</v>
      </c>
      <c r="G20" s="10" cm="1">
        <f t="array" ref="G20">_xlfn.XLOOKUP(A20+200,TCL_Shells!$C$8:$C$32,TCL_Shells!$G$8:G$32)</f>
        <v>307</v>
      </c>
      <c r="H20" s="9">
        <f ca="1">_xlfn.XLOOKUP(A20,M_Floor!$A$8:$A$34,M_Floor!$O$8:$O$34)</f>
        <v>2.5</v>
      </c>
      <c r="I20" s="9">
        <f ca="1">_xlfn.XLOOKUP(A20,M_Floor!$A$8:$A$34,M_Floor!$P$8:$P$34)</f>
        <v>1.7050000000000001</v>
      </c>
      <c r="J20" s="9">
        <v>0.4</v>
      </c>
      <c r="K20" s="16">
        <v>0.4</v>
      </c>
      <c r="L20" s="9">
        <v>0.15</v>
      </c>
      <c r="M20" s="13">
        <f t="shared" ca="1" si="0"/>
        <v>0.06</v>
      </c>
      <c r="N20" s="13">
        <f t="shared" ca="1" si="1"/>
        <v>8.7976539589442806E-2</v>
      </c>
      <c r="O20" s="13">
        <f t="shared" ca="1" si="2"/>
        <v>0.16</v>
      </c>
      <c r="P20" s="13">
        <f t="shared" ca="1" si="3"/>
        <v>0.23460410557184752</v>
      </c>
      <c r="Q20" s="14">
        <f>'B_Material properties'!$F$9</f>
        <v>1500000000</v>
      </c>
      <c r="R20" s="14">
        <f>'B_Material properties'!$F$10</f>
        <v>500000000</v>
      </c>
      <c r="S20" s="130">
        <f t="shared" ca="1" si="4"/>
        <v>861183694.93502688</v>
      </c>
      <c r="T20" s="130">
        <f t="shared" ca="1" si="5"/>
        <v>875537140.01320875</v>
      </c>
      <c r="U20" s="14">
        <f t="shared" ca="1" si="6"/>
        <v>336823496</v>
      </c>
      <c r="V20" s="14">
        <f t="shared" ca="1" si="7"/>
        <v>325375608.15050578</v>
      </c>
      <c r="W20" s="14">
        <f t="shared" ca="1" si="8"/>
        <v>325375608.15050578</v>
      </c>
      <c r="X20" s="20">
        <f t="shared" ca="1" si="9"/>
        <v>0.3304562772494764</v>
      </c>
      <c r="Y20" s="20">
        <f t="shared" ca="1" si="10"/>
        <v>0.25574999999999998</v>
      </c>
      <c r="Z20" s="20">
        <f t="shared" ca="1" si="11"/>
        <v>1.2921066559119314</v>
      </c>
      <c r="AA20" s="20">
        <f t="shared" ca="1" si="12"/>
        <v>0.42411500823462212</v>
      </c>
      <c r="AB20" s="20">
        <f t="shared" ca="1" si="13"/>
        <v>0.375</v>
      </c>
      <c r="AC20" s="20">
        <f t="shared" ca="1" si="14"/>
        <v>1.1309733552923256</v>
      </c>
      <c r="AD20" s="14">
        <f t="shared" ca="1" si="15"/>
        <v>1938159983.867897</v>
      </c>
      <c r="AE20" s="32">
        <f t="shared" ca="1" si="16"/>
        <v>1696460032.9384882</v>
      </c>
      <c r="AF20" s="33">
        <f t="shared" ca="1" si="17"/>
        <v>861183694.93502688</v>
      </c>
      <c r="AG20" s="14">
        <f t="shared" ca="1" si="18"/>
        <v>875537140.01320875</v>
      </c>
      <c r="AH20" s="34">
        <f t="shared" ca="1" si="19"/>
        <v>325375608.15050578</v>
      </c>
    </row>
    <row r="21" spans="1:34" x14ac:dyDescent="0.3">
      <c r="A21" s="9">
        <v>14</v>
      </c>
      <c r="B21" s="9" t="s">
        <v>13</v>
      </c>
      <c r="C21" s="9" t="s">
        <v>93</v>
      </c>
      <c r="D21" s="9">
        <f>_xlfn.XLOOKUP(A21+200,TCL_Shells!$C$8:$C$32,TCL_Shells!$D$8:$D$32)</f>
        <v>11</v>
      </c>
      <c r="E21" s="9" cm="1">
        <f t="array" ref="E21">_xlfn.XLOOKUP(A21+200,TCL_Shells!$C$8:$C$32,TCL_Shells!$E$8:E$32)</f>
        <v>12</v>
      </c>
      <c r="F21" s="9" cm="1">
        <f t="array" ref="F21">_xlfn.XLOOKUP(A21+200,TCL_Shells!$C$8:$C$32,TCL_Shells!$F$8:F$32)</f>
        <v>73</v>
      </c>
      <c r="G21" s="10" cm="1">
        <f t="array" ref="G21">_xlfn.XLOOKUP(A21+200,TCL_Shells!$C$8:$C$32,TCL_Shells!$G$8:G$32)</f>
        <v>101</v>
      </c>
      <c r="H21" s="9">
        <f ca="1">_xlfn.XLOOKUP(A21,M_Floor!$A$8:$A$34,M_Floor!$O$8:$O$34)</f>
        <v>5.1699999999999982</v>
      </c>
      <c r="I21" s="9">
        <f>_xlfn.XLOOKUP(A21,M_Floor!$A$8:$A$34,M_Floor!$P$8:$P$34)</f>
        <v>1.53</v>
      </c>
      <c r="J21" s="9">
        <v>0</v>
      </c>
      <c r="K21" s="10">
        <v>0.1</v>
      </c>
      <c r="L21" s="9">
        <v>0.15</v>
      </c>
      <c r="M21" s="13">
        <f t="shared" ca="1" si="0"/>
        <v>2.9013539651837533E-2</v>
      </c>
      <c r="N21" s="13">
        <f t="shared" si="1"/>
        <v>9.8039215686274508E-2</v>
      </c>
      <c r="O21" s="13">
        <f t="shared" ca="1" si="2"/>
        <v>0</v>
      </c>
      <c r="P21" s="13">
        <f t="shared" si="3"/>
        <v>6.535947712418301E-2</v>
      </c>
      <c r="Q21" s="14">
        <f>'B_Material properties'!$F$9</f>
        <v>1500000000</v>
      </c>
      <c r="R21" s="14">
        <f>'B_Material properties'!$F$10</f>
        <v>500000000</v>
      </c>
      <c r="S21" s="14">
        <f t="shared" si="4"/>
        <v>1500000000</v>
      </c>
      <c r="T21" s="130">
        <f t="shared" si="5"/>
        <v>2438581.0750094107</v>
      </c>
      <c r="U21" s="14">
        <f t="shared" si="6"/>
        <v>0</v>
      </c>
      <c r="V21" s="14">
        <f t="shared" si="7"/>
        <v>664824665.72685707</v>
      </c>
      <c r="W21" s="14">
        <f t="shared" si="8"/>
        <v>664824665.72685707</v>
      </c>
      <c r="X21" s="20">
        <f t="shared" si="9"/>
        <v>0.239153740754523</v>
      </c>
      <c r="Y21" s="20">
        <f t="shared" si="10"/>
        <v>0.22949999999999998</v>
      </c>
      <c r="Z21" s="20">
        <f t="shared" si="11"/>
        <v>1.0420642298672027</v>
      </c>
      <c r="AA21" s="20">
        <f t="shared" ca="1" si="12"/>
        <v>0.77549999999999975</v>
      </c>
      <c r="AB21" s="20">
        <f t="shared" ca="1" si="13"/>
        <v>0.77549999999999975</v>
      </c>
      <c r="AC21" s="20">
        <f t="shared" ca="1" si="14"/>
        <v>1</v>
      </c>
      <c r="AD21" s="130">
        <f t="shared" si="15"/>
        <v>1563096344.8008041</v>
      </c>
      <c r="AE21" s="32">
        <f t="shared" ca="1" si="16"/>
        <v>1500000000</v>
      </c>
      <c r="AF21" s="33">
        <f t="shared" si="17"/>
        <v>1563096344.8008041</v>
      </c>
      <c r="AG21" s="14">
        <f t="shared" si="18"/>
        <v>2438581.0750094107</v>
      </c>
      <c r="AH21" s="34">
        <f t="shared" si="19"/>
        <v>664824665.72685707</v>
      </c>
    </row>
    <row r="22" spans="1:34" x14ac:dyDescent="0.3">
      <c r="A22" s="9">
        <v>20</v>
      </c>
      <c r="B22" s="9" t="s">
        <v>76</v>
      </c>
      <c r="C22" s="9" t="s">
        <v>94</v>
      </c>
      <c r="D22" s="9">
        <f>_xlfn.XLOOKUP(A22+200,TCL_Shells!$C$8:$C$32,TCL_Shells!$D$8:$D$32)</f>
        <v>55</v>
      </c>
      <c r="E22" s="9" cm="1">
        <f t="array" ref="E22">_xlfn.XLOOKUP(A22+200,TCL_Shells!$C$8:$C$32,TCL_Shells!$E$8:E$32)</f>
        <v>311</v>
      </c>
      <c r="F22" s="9" cm="1">
        <f t="array" ref="F22">_xlfn.XLOOKUP(A22+200,TCL_Shells!$C$8:$C$32,TCL_Shells!$F$8:F$32)</f>
        <v>44</v>
      </c>
      <c r="G22" s="10" cm="1">
        <f t="array" ref="G22">_xlfn.XLOOKUP(A22+200,TCL_Shells!$C$8:$C$32,TCL_Shells!$G$8:G$32)</f>
        <v>310</v>
      </c>
      <c r="H22" s="9">
        <f ca="1">_xlfn.XLOOKUP(A22,M_Floor!$A$8:$A$34,M_Floor!$O$8:$O$34)</f>
        <v>2.1700000000000008</v>
      </c>
      <c r="I22" s="9">
        <f ca="1">_xlfn.XLOOKUP(A22,M_Floor!$A$8:$A$34,M_Floor!$P$8:$P$34)</f>
        <v>1.7500000000000004</v>
      </c>
      <c r="J22" s="9">
        <v>0.3</v>
      </c>
      <c r="K22" s="10">
        <v>0.3</v>
      </c>
      <c r="L22" s="9">
        <v>0.15</v>
      </c>
      <c r="M22" s="13">
        <f t="shared" ca="1" si="0"/>
        <v>6.9124423963133619E-2</v>
      </c>
      <c r="N22" s="13">
        <f t="shared" ca="1" si="1"/>
        <v>8.5714285714285687E-2</v>
      </c>
      <c r="O22" s="13">
        <f t="shared" ca="1" si="2"/>
        <v>0.13824884792626724</v>
      </c>
      <c r="P22" s="13">
        <f t="shared" ca="1" si="3"/>
        <v>0.17142857142857137</v>
      </c>
      <c r="Q22" s="14">
        <f>'B_Material properties'!$F$9</f>
        <v>1500000000</v>
      </c>
      <c r="R22" s="14">
        <f>'B_Material properties'!$F$10</f>
        <v>500000000</v>
      </c>
      <c r="S22" s="130">
        <f t="shared" ca="1" si="4"/>
        <v>958326985.64441144</v>
      </c>
      <c r="T22" s="130">
        <f t="shared" ca="1" si="5"/>
        <v>975017078.19132566</v>
      </c>
      <c r="U22" s="14">
        <f t="shared" ca="1" si="6"/>
        <v>408346783.28996181</v>
      </c>
      <c r="V22" s="14">
        <f t="shared" ca="1" si="7"/>
        <v>418350705.53935856</v>
      </c>
      <c r="W22" s="14">
        <f t="shared" ca="1" si="8"/>
        <v>408346783.28996181</v>
      </c>
      <c r="X22" s="20">
        <f t="shared" ca="1" si="9"/>
        <v>0.31219576995048559</v>
      </c>
      <c r="Y22" s="20">
        <f t="shared" ca="1" si="10"/>
        <v>0.26250000000000007</v>
      </c>
      <c r="Z22" s="20">
        <f t="shared" ca="1" si="11"/>
        <v>1.1893172188589924</v>
      </c>
      <c r="AA22" s="20">
        <f t="shared" ca="1" si="12"/>
        <v>0.36167585424452486</v>
      </c>
      <c r="AB22" s="20">
        <f t="shared" ca="1" si="13"/>
        <v>0.32550000000000012</v>
      </c>
      <c r="AC22" s="20">
        <f t="shared" ca="1" si="14"/>
        <v>1.1111393371567579</v>
      </c>
      <c r="AD22" s="14">
        <f t="shared" ca="1" si="15"/>
        <v>1783975828.2884886</v>
      </c>
      <c r="AE22" s="32">
        <f t="shared" ca="1" si="16"/>
        <v>1666709005.735137</v>
      </c>
      <c r="AF22" s="33">
        <f t="shared" ca="1" si="17"/>
        <v>958326985.64441144</v>
      </c>
      <c r="AG22" s="14">
        <f t="shared" ca="1" si="18"/>
        <v>975017078.19132566</v>
      </c>
      <c r="AH22" s="34">
        <f t="shared" ca="1" si="19"/>
        <v>408346783.28996181</v>
      </c>
    </row>
    <row r="23" spans="1:34" ht="14.5" thickBot="1" x14ac:dyDescent="0.35">
      <c r="A23" s="9">
        <v>23</v>
      </c>
      <c r="B23" s="9" t="s">
        <v>76</v>
      </c>
      <c r="C23" s="9" t="s">
        <v>94</v>
      </c>
      <c r="D23" s="9">
        <f>_xlfn.XLOOKUP(A23+200,TCL_Shells!$C$8:$C$32,TCL_Shells!$D$8:$D$32)</f>
        <v>313</v>
      </c>
      <c r="E23" s="9" cm="1">
        <f t="array" ref="E23">_xlfn.XLOOKUP(A23+200,TCL_Shells!$C$8:$C$32,TCL_Shells!$E$8:E$32)</f>
        <v>314</v>
      </c>
      <c r="F23" s="9" cm="1">
        <f t="array" ref="F23">_xlfn.XLOOKUP(A23+200,TCL_Shells!$C$8:$C$32,TCL_Shells!$F$8:F$32)</f>
        <v>311</v>
      </c>
      <c r="G23" s="10" cm="1">
        <f t="array" ref="G23">_xlfn.XLOOKUP(A23+200,TCL_Shells!$C$8:$C$32,TCL_Shells!$G$8:G$32)</f>
        <v>55</v>
      </c>
      <c r="H23" s="9">
        <f ca="1">_xlfn.XLOOKUP(A23,M_Floor!$A$8:$A$34,M_Floor!$O$8:$O$34)</f>
        <v>2.1700000000000008</v>
      </c>
      <c r="I23" s="9">
        <f ca="1">_xlfn.XLOOKUP(A23,M_Floor!$A$8:$A$34,M_Floor!$P$8:$P$34)</f>
        <v>2.1</v>
      </c>
      <c r="J23" s="9">
        <v>0.3</v>
      </c>
      <c r="K23" s="10">
        <v>0.3</v>
      </c>
      <c r="L23" s="9">
        <v>0.15</v>
      </c>
      <c r="M23" s="13">
        <f t="shared" ca="1" si="0"/>
        <v>6.9124423963133619E-2</v>
      </c>
      <c r="N23" s="13">
        <f t="shared" ca="1" si="1"/>
        <v>7.1428571428571425E-2</v>
      </c>
      <c r="O23" s="13">
        <f t="shared" ca="1" si="2"/>
        <v>0.13824884792626724</v>
      </c>
      <c r="P23" s="13">
        <f t="shared" ca="1" si="3"/>
        <v>0.14285714285714285</v>
      </c>
      <c r="Q23" s="14">
        <f>'B_Material properties'!$F$9</f>
        <v>1500000000</v>
      </c>
      <c r="R23" s="14">
        <f>'B_Material properties'!$F$10</f>
        <v>500000000</v>
      </c>
      <c r="S23" s="130">
        <f t="shared" ca="1" si="4"/>
        <v>958326985.64441144</v>
      </c>
      <c r="T23" s="130">
        <f t="shared" ca="1" si="5"/>
        <v>960258848.63977301</v>
      </c>
      <c r="U23" s="14">
        <f t="shared" ca="1" si="6"/>
        <v>408346783.28996181</v>
      </c>
      <c r="V23" s="14">
        <f t="shared" ca="1" si="7"/>
        <v>409914358.60058302</v>
      </c>
      <c r="W23" s="14">
        <f t="shared" ca="1" si="8"/>
        <v>408346783.28996181</v>
      </c>
      <c r="X23" s="20">
        <f t="shared" ca="1" si="9"/>
        <v>0.35342917352885161</v>
      </c>
      <c r="Y23" s="20">
        <f t="shared" ca="1" si="10"/>
        <v>0.315</v>
      </c>
      <c r="Z23" s="20">
        <f t="shared" ca="1" si="11"/>
        <v>1.1219973762820685</v>
      </c>
      <c r="AA23" s="20">
        <f t="shared" ca="1" si="12"/>
        <v>0.36167585424452486</v>
      </c>
      <c r="AB23" s="20">
        <f t="shared" ca="1" si="13"/>
        <v>0.32550000000000012</v>
      </c>
      <c r="AC23" s="20">
        <f t="shared" ca="1" si="14"/>
        <v>1.1111393371567579</v>
      </c>
      <c r="AD23" s="14">
        <f t="shared" ca="1" si="15"/>
        <v>1682996064.4231029</v>
      </c>
      <c r="AE23" s="32">
        <f t="shared" ca="1" si="16"/>
        <v>1666709005.735137</v>
      </c>
      <c r="AF23" s="35">
        <f t="shared" ca="1" si="17"/>
        <v>958326985.64441144</v>
      </c>
      <c r="AG23" s="36">
        <f t="shared" ca="1" si="18"/>
        <v>960258848.63977301</v>
      </c>
      <c r="AH23" s="37">
        <f t="shared" ca="1" si="19"/>
        <v>408346783.28996181</v>
      </c>
    </row>
    <row r="24" spans="1:34" x14ac:dyDescent="0.3">
      <c r="H24" s="6"/>
      <c r="T24" s="12"/>
      <c r="V24" s="6"/>
    </row>
    <row r="25" spans="1:34" x14ac:dyDescent="0.3">
      <c r="B25" s="6" t="s">
        <v>95</v>
      </c>
      <c r="F25" s="7"/>
      <c r="H25" s="6"/>
      <c r="U25" s="12"/>
      <c r="V25" s="6"/>
    </row>
    <row r="26" spans="1:34" x14ac:dyDescent="0.3">
      <c r="F26" s="7"/>
      <c r="H26" s="6"/>
      <c r="U26" s="12"/>
      <c r="V26" s="6"/>
    </row>
    <row r="27" spans="1:34" ht="14.5" thickBot="1" x14ac:dyDescent="0.35">
      <c r="C27" s="114" t="s">
        <v>96</v>
      </c>
      <c r="D27" s="114" t="s">
        <v>97</v>
      </c>
      <c r="E27" s="114" t="s">
        <v>98</v>
      </c>
      <c r="F27" s="114" t="s">
        <v>99</v>
      </c>
      <c r="G27" s="114" t="s">
        <v>100</v>
      </c>
      <c r="H27" s="114" t="s">
        <v>101</v>
      </c>
      <c r="I27" s="114" t="s">
        <v>102</v>
      </c>
      <c r="J27" s="114" t="s">
        <v>103</v>
      </c>
      <c r="K27" s="114" t="s">
        <v>104</v>
      </c>
      <c r="L27" s="114" t="s">
        <v>105</v>
      </c>
      <c r="M27" s="114" t="s">
        <v>106</v>
      </c>
      <c r="N27" s="114" t="s">
        <v>107</v>
      </c>
      <c r="O27" s="114" t="s">
        <v>108</v>
      </c>
      <c r="P27" s="114" t="s">
        <v>109</v>
      </c>
      <c r="S27" s="12"/>
      <c r="V27" s="6"/>
    </row>
    <row r="28" spans="1:34" ht="28" x14ac:dyDescent="0.3">
      <c r="B28" s="10" t="s">
        <v>110</v>
      </c>
      <c r="C28" s="17">
        <v>0.01</v>
      </c>
      <c r="D28" s="17">
        <v>-2.0000000000000001E-4</v>
      </c>
      <c r="E28" s="17">
        <v>-1.73</v>
      </c>
      <c r="F28" s="18">
        <v>0</v>
      </c>
      <c r="G28" s="18"/>
      <c r="H28" s="17"/>
      <c r="I28" s="17"/>
      <c r="J28" s="17"/>
      <c r="K28" s="17">
        <v>1.6433</v>
      </c>
      <c r="L28" s="17">
        <v>-1.8190999999999999</v>
      </c>
      <c r="M28" s="17">
        <v>0.1133</v>
      </c>
      <c r="N28" s="18">
        <v>1.1189</v>
      </c>
      <c r="O28" s="18"/>
      <c r="P28" s="17"/>
      <c r="S28" s="12"/>
      <c r="V28" s="6"/>
    </row>
    <row r="29" spans="1:34" x14ac:dyDescent="0.3">
      <c r="B29" s="10" t="s">
        <v>111</v>
      </c>
      <c r="C29" s="17">
        <v>0.05</v>
      </c>
      <c r="D29" s="17">
        <v>-1.1000000000000001E-3</v>
      </c>
      <c r="E29" s="17">
        <v>3.1766999999999999</v>
      </c>
      <c r="F29" s="18">
        <v>0</v>
      </c>
      <c r="G29" s="18"/>
      <c r="H29" s="17"/>
      <c r="I29" s="17"/>
      <c r="J29" s="17"/>
      <c r="K29" s="17">
        <v>1.6433</v>
      </c>
      <c r="L29" s="17">
        <v>-1.8190999999999999</v>
      </c>
      <c r="M29" s="17">
        <v>0.1133</v>
      </c>
      <c r="N29" s="18">
        <v>1.1189</v>
      </c>
      <c r="O29" s="17"/>
      <c r="P29" s="17"/>
      <c r="S29" s="12"/>
      <c r="V29" s="6"/>
    </row>
    <row r="30" spans="1:34" x14ac:dyDescent="0.3">
      <c r="B30" s="10" t="s">
        <v>112</v>
      </c>
      <c r="C30" s="17"/>
      <c r="D30" s="17"/>
      <c r="E30" s="17"/>
      <c r="F30" s="18"/>
      <c r="G30" s="18">
        <v>-0.91</v>
      </c>
      <c r="H30" s="17">
        <v>-0.15670000000000001</v>
      </c>
      <c r="I30" s="17">
        <v>1.9133</v>
      </c>
      <c r="J30" s="17">
        <v>7.2099999999999997E-2</v>
      </c>
      <c r="K30" s="17">
        <v>-1.1200000000000001</v>
      </c>
      <c r="L30" s="17">
        <v>-4.1765999999999996</v>
      </c>
      <c r="M30" s="17">
        <v>8.9032999999999998</v>
      </c>
      <c r="N30" s="18">
        <v>0.72729999999999995</v>
      </c>
      <c r="O30" s="18">
        <v>-34.323</v>
      </c>
      <c r="P30" s="17">
        <v>5.6201999999999996</v>
      </c>
      <c r="S30" s="12"/>
      <c r="V30" s="6"/>
    </row>
    <row r="31" spans="1:34" x14ac:dyDescent="0.3">
      <c r="F31" s="7"/>
      <c r="H31" s="6"/>
    </row>
    <row r="32" spans="1:34" x14ac:dyDescent="0.3">
      <c r="C32"/>
      <c r="F32" s="7"/>
      <c r="H32" s="6"/>
    </row>
    <row r="33" spans="6:8" x14ac:dyDescent="0.3">
      <c r="F33" s="7"/>
      <c r="H33" s="6"/>
    </row>
    <row r="34" spans="6:8" x14ac:dyDescent="0.3">
      <c r="F34" s="7"/>
      <c r="H34" s="6"/>
    </row>
    <row r="35" spans="6:8" x14ac:dyDescent="0.3">
      <c r="F35" s="7"/>
      <c r="H35" s="6"/>
    </row>
    <row r="36" spans="6:8" x14ac:dyDescent="0.3">
      <c r="F36" s="7"/>
      <c r="H36" s="6"/>
    </row>
    <row r="37" spans="6:8" x14ac:dyDescent="0.3">
      <c r="F37" s="7"/>
      <c r="H37" s="6"/>
    </row>
    <row r="38" spans="6:8" x14ac:dyDescent="0.3">
      <c r="F38" s="7"/>
      <c r="H38" s="6"/>
    </row>
    <row r="39" spans="6:8" x14ac:dyDescent="0.3">
      <c r="F39" s="7"/>
      <c r="H39" s="6"/>
    </row>
    <row r="40" spans="6:8" x14ac:dyDescent="0.3">
      <c r="F40" s="7"/>
      <c r="H40" s="6"/>
    </row>
    <row r="41" spans="6:8" x14ac:dyDescent="0.3">
      <c r="F41" s="7"/>
      <c r="H41" s="6"/>
    </row>
    <row r="42" spans="6:8" x14ac:dyDescent="0.3">
      <c r="F42" s="7"/>
      <c r="H42" s="6"/>
    </row>
    <row r="43" spans="6:8" x14ac:dyDescent="0.3">
      <c r="F43" s="7"/>
      <c r="H43" s="6"/>
    </row>
    <row r="44" spans="6:8" x14ac:dyDescent="0.3">
      <c r="F44" s="7"/>
      <c r="H44" s="6"/>
    </row>
    <row r="45" spans="6:8" x14ac:dyDescent="0.3">
      <c r="F45" s="7"/>
      <c r="H45" s="6"/>
    </row>
    <row r="46" spans="6:8" x14ac:dyDescent="0.3">
      <c r="F46" s="7"/>
      <c r="H46" s="6"/>
    </row>
    <row r="47" spans="6:8" x14ac:dyDescent="0.3">
      <c r="F47" s="7"/>
      <c r="H47" s="6"/>
    </row>
    <row r="48" spans="6:8" x14ac:dyDescent="0.3">
      <c r="F48" s="7"/>
      <c r="H48" s="6"/>
    </row>
    <row r="49" spans="6:8" x14ac:dyDescent="0.3">
      <c r="F49" s="7"/>
      <c r="H49" s="6"/>
    </row>
    <row r="50" spans="6:8" x14ac:dyDescent="0.3">
      <c r="F50" s="7"/>
      <c r="H50" s="6"/>
    </row>
    <row r="51" spans="6:8" x14ac:dyDescent="0.3">
      <c r="F51" s="7"/>
      <c r="H51" s="6"/>
    </row>
    <row r="52" spans="6:8" x14ac:dyDescent="0.3">
      <c r="F52" s="7"/>
      <c r="H52" s="6"/>
    </row>
    <row r="53" spans="6:8" x14ac:dyDescent="0.3">
      <c r="F53" s="7"/>
      <c r="H53" s="6"/>
    </row>
  </sheetData>
  <mergeCells count="6">
    <mergeCell ref="C3:D3"/>
    <mergeCell ref="S6:W6"/>
    <mergeCell ref="X6:AE6"/>
    <mergeCell ref="AF6:AH6"/>
    <mergeCell ref="L4:M4"/>
    <mergeCell ref="Q6:R6"/>
  </mergeCells>
  <pageMargins left="0.7" right="0.7" top="0.78740157499999996" bottom="0.78740157499999996" header="0.3" footer="0.3"/>
  <pageSetup paperSize="9" scale="95" orientation="landscape" r:id="rId1"/>
  <headerFooter>
    <oddHeader>&amp;LMaster Thesis 2023/2024&amp;CSt. Lawrence Parish House,
Petrinja, Croatia&amp;R&amp;G</oddHeader>
    <oddFooter>&amp;L&amp;A&amp;CModel: Initial state&amp;R&amp;P</oddFooter>
  </headerFooter>
  <colBreaks count="1" manualBreakCount="1">
    <brk id="16" max="1048575" man="1"/>
  </colBreaks>
  <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781ECA-859E-46EF-B084-891B5AABF0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23</vt:i4>
      </vt:variant>
      <vt:variant>
        <vt:lpstr>Benannte Bereiche</vt:lpstr>
      </vt:variant>
      <vt:variant>
        <vt:i4>10</vt:i4>
      </vt:variant>
    </vt:vector>
  </HeadingPairs>
  <TitlesOfParts>
    <vt:vector size="33" baseType="lpstr">
      <vt:lpstr>TCL_Nodes</vt:lpstr>
      <vt:lpstr>TCL_Macroelements</vt:lpstr>
      <vt:lpstr>TCL_Sections</vt:lpstr>
      <vt:lpstr>TCL_Shells</vt:lpstr>
      <vt:lpstr>TCL_RingBeam</vt:lpstr>
      <vt:lpstr>TCL_Constraints</vt:lpstr>
      <vt:lpstr>TCL_Connections</vt:lpstr>
      <vt:lpstr>TCL_Nodal masses</vt:lpstr>
      <vt:lpstr>TCL_Self-weight</vt:lpstr>
      <vt:lpstr>Check Wall Masses</vt:lpstr>
      <vt:lpstr>B_Surface loads</vt:lpstr>
      <vt:lpstr>B_Material properties</vt:lpstr>
      <vt:lpstr>M_Nodes</vt:lpstr>
      <vt:lpstr>M_Floor</vt:lpstr>
      <vt:lpstr>M_Roof</vt:lpstr>
      <vt:lpstr>M_Filling material</vt:lpstr>
      <vt:lpstr>P_Slabs above FF</vt:lpstr>
      <vt:lpstr>L_Nodes</vt:lpstr>
      <vt:lpstr>L_Floor</vt:lpstr>
      <vt:lpstr>L_Roof</vt:lpstr>
      <vt:lpstr>L_Filling material</vt:lpstr>
      <vt:lpstr>L_OOPWalls</vt:lpstr>
      <vt:lpstr>P_Vaults above GF</vt:lpstr>
      <vt:lpstr>'L_Filling material'!Druckbereich</vt:lpstr>
      <vt:lpstr>L_Floor!Druckbereich</vt:lpstr>
      <vt:lpstr>M_Floor!Druckbereich</vt:lpstr>
      <vt:lpstr>M_Roof!Druckbereich</vt:lpstr>
      <vt:lpstr>'P_Slabs above FF'!Druckbereich</vt:lpstr>
      <vt:lpstr>'P_Vaults above GF'!Druckbereich</vt:lpstr>
      <vt:lpstr>TCL_Macroelements!Druckbereich</vt:lpstr>
      <vt:lpstr>'TCL_Nodal masses'!Druckbereich</vt:lpstr>
      <vt:lpstr>TCL_Nodes!Druckbereich</vt:lpstr>
      <vt:lpstr>'TCL_Self-weight'!Druckbereich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Bönzli</dc:creator>
  <cp:lastModifiedBy>Aline Bönzli</cp:lastModifiedBy>
  <cp:lastPrinted>2024-01-13T15:01:46Z</cp:lastPrinted>
  <dcterms:created xsi:type="dcterms:W3CDTF">2015-06-05T18:19:34Z</dcterms:created>
  <dcterms:modified xsi:type="dcterms:W3CDTF">2024-01-13T15:07:59Z</dcterms:modified>
</cp:coreProperties>
</file>