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omparisonOfDiscreteGraphs\"/>
    </mc:Choice>
  </mc:AlternateContent>
  <xr:revisionPtr revIDLastSave="0" documentId="13_ncr:1_{40FBC309-8A82-409C-A6E3-38F5138A2D5A}" xr6:coauthVersionLast="47" xr6:coauthVersionMax="47" xr10:uidLastSave="{00000000-0000-0000-0000-000000000000}"/>
  <bookViews>
    <workbookView xWindow="-98" yWindow="-98" windowWidth="23236" windowHeight="13875" xr2:uid="{D3E16685-B3D0-4ED6-9665-94802DBD2AE2}"/>
  </bookViews>
  <sheets>
    <sheet name="Лист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6" i="1" l="1"/>
  <c r="I66" i="1"/>
  <c r="J66" i="1"/>
  <c r="G66" i="1"/>
  <c r="R45" i="1"/>
  <c r="H62" i="1"/>
  <c r="I62" i="1"/>
  <c r="J62" i="1"/>
  <c r="G62" i="1"/>
  <c r="R43" i="1"/>
  <c r="G21" i="1"/>
  <c r="G36" i="1" s="1"/>
  <c r="H21" i="1"/>
  <c r="I21" i="1"/>
  <c r="J21" i="1"/>
  <c r="N45" i="1"/>
  <c r="G53" i="1" s="1"/>
  <c r="H57" i="1"/>
  <c r="I57" i="1"/>
  <c r="J57" i="1"/>
  <c r="H58" i="1"/>
  <c r="J58" i="1"/>
  <c r="O45" i="1"/>
  <c r="H53" i="1" s="1"/>
  <c r="P45" i="1"/>
  <c r="I53" i="1" s="1"/>
  <c r="Q45" i="1"/>
  <c r="J53" i="1" s="1"/>
  <c r="K66" i="1" l="1"/>
  <c r="J43" i="1"/>
  <c r="J47" i="1" s="1"/>
  <c r="J61" i="1" s="1"/>
  <c r="I43" i="1"/>
  <c r="H43" i="1"/>
  <c r="H47" i="1" s="1"/>
  <c r="H61" i="1" s="1"/>
  <c r="G43" i="1"/>
  <c r="G47" i="1" s="1"/>
  <c r="H27" i="1"/>
  <c r="J27" i="1"/>
  <c r="I13" i="1"/>
  <c r="G13" i="1"/>
  <c r="J20" i="1"/>
  <c r="J35" i="1" s="1"/>
  <c r="H20" i="1"/>
  <c r="H35" i="1" s="1"/>
  <c r="I20" i="1"/>
  <c r="I35" i="1" s="1"/>
  <c r="G20" i="1"/>
  <c r="G35" i="1" s="1"/>
  <c r="G10" i="1"/>
  <c r="I36" i="1"/>
  <c r="J36" i="1"/>
  <c r="H31" i="1"/>
  <c r="J31" i="1"/>
  <c r="H30" i="1"/>
  <c r="I30" i="1"/>
  <c r="J30" i="1"/>
  <c r="H9" i="1"/>
  <c r="I9" i="1"/>
  <c r="J9" i="1"/>
  <c r="G9" i="1"/>
  <c r="J22" i="1"/>
  <c r="J60" i="1" s="1"/>
  <c r="H15" i="1"/>
  <c r="H16" i="1" s="1"/>
  <c r="H17" i="1" s="1"/>
  <c r="H18" i="1" s="1"/>
  <c r="I15" i="1"/>
  <c r="I16" i="1" s="1"/>
  <c r="I17" i="1" s="1"/>
  <c r="I18" i="1" s="1"/>
  <c r="J15" i="1"/>
  <c r="J16" i="1" s="1"/>
  <c r="J17" i="1" s="1"/>
  <c r="J18" i="1" s="1"/>
  <c r="G15" i="1"/>
  <c r="G16" i="1" s="1"/>
  <c r="G17" i="1" s="1"/>
  <c r="G18" i="1" s="1"/>
  <c r="H6" i="1"/>
  <c r="I6" i="1"/>
  <c r="J6" i="1"/>
  <c r="J5" i="1"/>
  <c r="H5" i="1"/>
  <c r="I5" i="1"/>
  <c r="J4" i="1"/>
  <c r="H4" i="1"/>
  <c r="I4" i="1"/>
  <c r="G6" i="1"/>
  <c r="G5" i="1"/>
  <c r="G4" i="1"/>
  <c r="G7" i="1" s="1"/>
  <c r="G22" i="1" l="1"/>
  <c r="G60" i="1" s="1"/>
  <c r="I22" i="1"/>
  <c r="I60" i="1" s="1"/>
  <c r="G61" i="1"/>
  <c r="K9" i="1"/>
  <c r="G56" i="1"/>
  <c r="I11" i="1"/>
  <c r="I56" i="1"/>
  <c r="G34" i="1"/>
  <c r="G59" i="1"/>
  <c r="I7" i="1"/>
  <c r="I26" i="1" s="1"/>
  <c r="J11" i="1"/>
  <c r="J56" i="1"/>
  <c r="J7" i="1"/>
  <c r="H32" i="1"/>
  <c r="H56" i="1"/>
  <c r="G31" i="1"/>
  <c r="G58" i="1"/>
  <c r="G30" i="1"/>
  <c r="G57" i="1"/>
  <c r="I27" i="1"/>
  <c r="I58" i="1"/>
  <c r="H22" i="1"/>
  <c r="H60" i="1" s="1"/>
  <c r="G26" i="1"/>
  <c r="I31" i="1"/>
  <c r="H33" i="1"/>
  <c r="H55" i="1" s="1"/>
  <c r="H24" i="1"/>
  <c r="I33" i="1"/>
  <c r="I55" i="1" s="1"/>
  <c r="I24" i="1"/>
  <c r="G33" i="1"/>
  <c r="G55" i="1" s="1"/>
  <c r="G24" i="1"/>
  <c r="K18" i="1"/>
  <c r="J24" i="1"/>
  <c r="J33" i="1"/>
  <c r="J55" i="1" s="1"/>
  <c r="H36" i="1"/>
  <c r="G27" i="1"/>
  <c r="H7" i="1"/>
  <c r="H59" i="1" s="1"/>
  <c r="G11" i="1"/>
  <c r="J25" i="1"/>
  <c r="G25" i="1"/>
  <c r="I25" i="1"/>
  <c r="H25" i="1"/>
  <c r="H11" i="1"/>
  <c r="J32" i="1"/>
  <c r="I32" i="1"/>
  <c r="G32" i="1"/>
  <c r="G38" i="1" l="1"/>
  <c r="G45" i="1" s="1"/>
  <c r="G46" i="1" s="1"/>
  <c r="G48" i="1" s="1"/>
  <c r="G54" i="1"/>
  <c r="H54" i="1"/>
  <c r="K22" i="1"/>
  <c r="I28" i="1"/>
  <c r="K53" i="1"/>
  <c r="I47" i="1"/>
  <c r="K43" i="1"/>
  <c r="J34" i="1"/>
  <c r="J38" i="1" s="1"/>
  <c r="J59" i="1"/>
  <c r="J54" i="1" s="1"/>
  <c r="I34" i="1"/>
  <c r="I38" i="1" s="1"/>
  <c r="I44" i="1" s="1"/>
  <c r="I59" i="1"/>
  <c r="J26" i="1"/>
  <c r="J28" i="1" s="1"/>
  <c r="H34" i="1"/>
  <c r="H38" i="1" s="1"/>
  <c r="H26" i="1"/>
  <c r="H28" i="1" s="1"/>
  <c r="K7" i="1"/>
  <c r="G28" i="1"/>
  <c r="K11" i="1"/>
  <c r="K28" i="1" l="1"/>
  <c r="G63" i="1"/>
  <c r="H44" i="1"/>
  <c r="H45" i="1"/>
  <c r="H46" i="1" s="1"/>
  <c r="H48" i="1" s="1"/>
  <c r="J44" i="1"/>
  <c r="J45" i="1"/>
  <c r="J46" i="1" s="1"/>
  <c r="J48" i="1" s="1"/>
  <c r="G44" i="1"/>
  <c r="I61" i="1"/>
  <c r="I54" i="1" s="1"/>
  <c r="I45" i="1"/>
  <c r="K47" i="1"/>
  <c r="K38" i="1"/>
  <c r="K39" i="1" s="1"/>
  <c r="K44" i="1" l="1"/>
  <c r="H52" i="1"/>
  <c r="H63" i="1" s="1"/>
  <c r="G64" i="1"/>
  <c r="K54" i="1"/>
  <c r="K45" i="1"/>
  <c r="I46" i="1"/>
  <c r="I52" i="1" l="1"/>
  <c r="I63" i="1" s="1"/>
  <c r="H64" i="1"/>
  <c r="I48" i="1"/>
  <c r="K48" i="1" s="1"/>
  <c r="K46" i="1"/>
  <c r="J52" i="1" l="1"/>
  <c r="J63" i="1" s="1"/>
  <c r="J64" i="1" s="1"/>
  <c r="I64" i="1"/>
  <c r="G67" i="1" l="1"/>
</calcChain>
</file>

<file path=xl/sharedStrings.xml><?xml version="1.0" encoding="utf-8"?>
<sst xmlns="http://schemas.openxmlformats.org/spreadsheetml/2006/main" count="100" uniqueCount="75">
  <si>
    <t>Кварталы</t>
  </si>
  <si>
    <t>Итого</t>
  </si>
  <si>
    <t>ЗП разработчика</t>
  </si>
  <si>
    <t>ЗП тестировщика</t>
  </si>
  <si>
    <t>ЗП маркетолога</t>
  </si>
  <si>
    <t>ЗП руководителя</t>
  </si>
  <si>
    <t>реклама на сайте</t>
  </si>
  <si>
    <t>Реклама на сайте</t>
  </si>
  <si>
    <t>ведение соц сетей</t>
  </si>
  <si>
    <t>рассылка</t>
  </si>
  <si>
    <t>аренда</t>
  </si>
  <si>
    <t>оборудование</t>
  </si>
  <si>
    <t>Постоянные управленческие и коммерческие затраты</t>
  </si>
  <si>
    <t>Заработная плата с отчислениями</t>
  </si>
  <si>
    <t>Аренда</t>
  </si>
  <si>
    <t>Реклама</t>
  </si>
  <si>
    <t>Материалы</t>
  </si>
  <si>
    <t>Расходы на содержание и эксплуатацию оборудования</t>
  </si>
  <si>
    <t>Амортизационные отчисления</t>
  </si>
  <si>
    <t>Общепроизводственные затраты</t>
  </si>
  <si>
    <t>Затраты на оплату труда</t>
  </si>
  <si>
    <t>Затраты на материалы</t>
  </si>
  <si>
    <t>Инвестиционные затраты</t>
  </si>
  <si>
    <t>Рекламная кампания</t>
  </si>
  <si>
    <t>Оборудование</t>
  </si>
  <si>
    <t>Оплата труда с отчислениями</t>
  </si>
  <si>
    <t>Прочее</t>
  </si>
  <si>
    <t>основная</t>
  </si>
  <si>
    <t>премия 14</t>
  </si>
  <si>
    <t>взносы 30</t>
  </si>
  <si>
    <t>Себестоимость</t>
  </si>
  <si>
    <t>Выручка</t>
  </si>
  <si>
    <t>Валовая прибыль</t>
  </si>
  <si>
    <t>Операционные расходы</t>
  </si>
  <si>
    <t>Чистая прибыль</t>
  </si>
  <si>
    <t>Налог, 6%</t>
  </si>
  <si>
    <t>Наименование</t>
  </si>
  <si>
    <t>I</t>
  </si>
  <si>
    <t>II</t>
  </si>
  <si>
    <t>III</t>
  </si>
  <si>
    <t>IV</t>
  </si>
  <si>
    <t>Итого, руб/год</t>
  </si>
  <si>
    <t>Квартал</t>
  </si>
  <si>
    <t>Чистая прибыль после налога</t>
  </si>
  <si>
    <t>Показатели</t>
  </si>
  <si>
    <t>Итого, руб, год</t>
  </si>
  <si>
    <t>Ожидаемый объем продаж, ед.</t>
  </si>
  <si>
    <t>1. Остаток денежных средств</t>
  </si>
  <si>
    <t>2. Поступления денежных средств от продажи</t>
  </si>
  <si>
    <t>3. Отход денежных средств</t>
  </si>
  <si>
    <t>3.1 Оплата труда</t>
  </si>
  <si>
    <t>3.2 Оплата аренды</t>
  </si>
  <si>
    <t>3.4 Оплата материалов</t>
  </si>
  <si>
    <t>3.5 Оплата рекламы</t>
  </si>
  <si>
    <t>3.6 Общепроизводственные затраты</t>
  </si>
  <si>
    <t>4. Чистый денежный поток</t>
  </si>
  <si>
    <t>3.3 Оплата оборудования</t>
  </si>
  <si>
    <t>Цена без НДС за 1 единицу, руб</t>
  </si>
  <si>
    <t>ROI</t>
  </si>
  <si>
    <t>Выручка, руб</t>
  </si>
  <si>
    <t>3.8 Оплата кредита</t>
  </si>
  <si>
    <t>3.7 Оплата налога на доход</t>
  </si>
  <si>
    <t>Квартал, руб/квартал</t>
  </si>
  <si>
    <t>Размещение баннера на медицинском сайте</t>
  </si>
  <si>
    <t>Ведение социальной сети Вконтакте</t>
  </si>
  <si>
    <t xml:space="preserve">120 000 </t>
  </si>
  <si>
    <t>Партнерские соглашения с медицинскими центрами</t>
  </si>
  <si>
    <t>Участие в медицинских конференциях</t>
  </si>
  <si>
    <t>Демонстрационные версии программы</t>
  </si>
  <si>
    <t>E-mail рассылка</t>
  </si>
  <si>
    <t>Публикация отзывов клиентов</t>
  </si>
  <si>
    <t>Итого, руб/квартал</t>
  </si>
  <si>
    <t>1 360 000</t>
  </si>
  <si>
    <t>5. Чистая прибыль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</si>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</sst>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\ &quot;₽&quot;_-;\-* #,##0.0\ &quot;₽&quot;_-;_-* &quot;-&quot;?\ &quot;₽&quot;_-;_-@_-"/>
    <numFmt numFmtId="165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wrapText="1" shrinkToFit="1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2" fontId="1" fillId="0" borderId="4" xfId="0" applyNumberFormat="1" applyFont="1" applyBorder="1" applyAlignment="1">
      <alignment horizontal="center" vertical="center" wrapText="1" shrinkToFit="1"/>
    </xf>
    <xf numFmtId="2" fontId="1" fillId="0" borderId="1" xfId="0" applyNumberFormat="1" applyFont="1" applyBorder="1" applyAlignment="1">
      <alignment vertical="center" wrapText="1" shrinkToFit="1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/>
    <xf numFmtId="164" fontId="1" fillId="0" borderId="0" xfId="0" applyNumberFormat="1" applyFont="1"/>
    <xf numFmtId="165" fontId="1" fillId="0" borderId="1" xfId="0" applyNumberFormat="1" applyFont="1" applyBorder="1"/>
    <xf numFmtId="4" fontId="1" fillId="0" borderId="1" xfId="0" applyNumberFormat="1" applyFont="1" applyBorder="1"/>
    <xf numFmtId="0" fontId="1" fillId="0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165" fontId="1" fillId="0" borderId="0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wrapText="1"/>
    </xf>
    <xf numFmtId="165" fontId="1" fillId="0" borderId="6" xfId="0" applyNumberFormat="1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165" fontId="1" fillId="0" borderId="0" xfId="0" applyNumberFormat="1" applyFont="1"/>
    <xf numFmtId="164" fontId="1" fillId="0" borderId="3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left" vertical="center"/>
    </xf>
    <xf numFmtId="164" fontId="1" fillId="0" borderId="8" xfId="0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 shrinkToFit="1"/>
    </xf>
    <xf numFmtId="2" fontId="1" fillId="0" borderId="4" xfId="0" applyNumberFormat="1" applyFont="1" applyBorder="1" applyAlignment="1">
      <alignment horizontal="center" vertical="center" wrapText="1" shrinkToFit="1"/>
    </xf>
    <xf numFmtId="2" fontId="1" fillId="0" borderId="5" xfId="0" applyNumberFormat="1" applyFont="1" applyBorder="1" applyAlignment="1">
      <alignment horizontal="center" vertical="center" wrapText="1" shrinkToFit="1"/>
    </xf>
    <xf numFmtId="2" fontId="1" fillId="0" borderId="1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2BA61-B1E0-4951-AAE5-C8C00B6821F2}">
  <dimension ref="A1:R70"/>
  <sheetViews>
    <sheetView tabSelected="1" topLeftCell="F43" zoomScale="80" zoomScaleNormal="80" workbookViewId="0">
      <selection activeCell="N77" sqref="N77"/>
    </sheetView>
  </sheetViews>
  <sheetFormatPr defaultRowHeight="15.4" x14ac:dyDescent="0.45"/>
  <cols>
    <col min="1" max="1" width="16" style="1" bestFit="1" customWidth="1"/>
    <col min="2" max="2" width="9.1328125" style="1" bestFit="1" customWidth="1"/>
    <col min="3" max="4" width="9.06640625" style="1"/>
    <col min="5" max="5" width="24.1328125" style="1" bestFit="1" customWidth="1"/>
    <col min="6" max="6" width="34.59765625" style="1" customWidth="1"/>
    <col min="7" max="7" width="15.265625" style="1" bestFit="1" customWidth="1"/>
    <col min="8" max="8" width="15.86328125" style="1" customWidth="1"/>
    <col min="9" max="10" width="15.265625" style="1" bestFit="1" customWidth="1"/>
    <col min="11" max="11" width="15.53125" style="1" customWidth="1"/>
    <col min="12" max="12" width="9.06640625" style="1"/>
    <col min="13" max="13" width="18.06640625" style="1" customWidth="1"/>
    <col min="14" max="14" width="14.33203125" style="1" customWidth="1"/>
    <col min="15" max="15" width="14.1328125" style="1" bestFit="1" customWidth="1"/>
    <col min="16" max="18" width="15.265625" style="1" bestFit="1" customWidth="1"/>
    <col min="19" max="16384" width="9.06640625" style="1"/>
  </cols>
  <sheetData>
    <row r="1" spans="1:18" x14ac:dyDescent="0.45">
      <c r="A1" s="1" t="s">
        <v>5</v>
      </c>
      <c r="B1" s="2">
        <v>100000</v>
      </c>
      <c r="E1" s="3"/>
      <c r="F1" s="3"/>
      <c r="G1" s="3"/>
      <c r="H1" s="3"/>
      <c r="I1" s="3"/>
      <c r="J1" s="3"/>
    </row>
    <row r="2" spans="1:18" ht="15.75" customHeight="1" x14ac:dyDescent="0.45">
      <c r="A2" s="1" t="s">
        <v>2</v>
      </c>
      <c r="B2" s="2">
        <v>90000</v>
      </c>
      <c r="E2" s="3"/>
      <c r="F2" s="3"/>
      <c r="G2" s="40" t="s">
        <v>0</v>
      </c>
      <c r="H2" s="40"/>
      <c r="I2" s="40"/>
      <c r="J2" s="40"/>
      <c r="K2" s="4" t="s">
        <v>1</v>
      </c>
      <c r="N2" s="32" t="s">
        <v>44</v>
      </c>
      <c r="O2" s="34" t="s">
        <v>62</v>
      </c>
      <c r="P2" s="35"/>
      <c r="Q2" s="35"/>
      <c r="R2" s="36"/>
    </row>
    <row r="3" spans="1:18" x14ac:dyDescent="0.45">
      <c r="A3" s="1" t="s">
        <v>3</v>
      </c>
      <c r="B3" s="2">
        <v>80000</v>
      </c>
      <c r="E3" s="3"/>
      <c r="F3" s="3"/>
      <c r="G3" s="5">
        <v>1</v>
      </c>
      <c r="H3" s="5">
        <v>2</v>
      </c>
      <c r="I3" s="5">
        <v>3</v>
      </c>
      <c r="J3" s="5">
        <v>4</v>
      </c>
      <c r="K3" s="4"/>
      <c r="N3" s="33"/>
      <c r="O3" s="7" t="s">
        <v>37</v>
      </c>
      <c r="P3" s="7" t="s">
        <v>38</v>
      </c>
      <c r="Q3" s="7" t="s">
        <v>39</v>
      </c>
      <c r="R3" s="7" t="s">
        <v>40</v>
      </c>
    </row>
    <row r="4" spans="1:18" x14ac:dyDescent="0.45">
      <c r="A4" s="1" t="s">
        <v>4</v>
      </c>
      <c r="B4" s="2">
        <v>60000</v>
      </c>
      <c r="E4" s="40" t="s">
        <v>23</v>
      </c>
      <c r="F4" s="6" t="s">
        <v>6</v>
      </c>
      <c r="G4" s="7">
        <f>4*$B$6</f>
        <v>160000</v>
      </c>
      <c r="H4" s="7">
        <f t="shared" ref="H4:I4" si="0">4*$B$6</f>
        <v>160000</v>
      </c>
      <c r="I4" s="7">
        <f t="shared" si="0"/>
        <v>160000</v>
      </c>
      <c r="J4" s="7">
        <f>4*$B$6</f>
        <v>160000</v>
      </c>
      <c r="K4" s="4"/>
      <c r="N4" s="29" t="s">
        <v>63</v>
      </c>
      <c r="O4" s="30">
        <v>160000</v>
      </c>
      <c r="P4" s="30">
        <v>160000</v>
      </c>
      <c r="Q4" s="30">
        <v>160000</v>
      </c>
      <c r="R4" s="30">
        <v>160000</v>
      </c>
    </row>
    <row r="5" spans="1:18" x14ac:dyDescent="0.45">
      <c r="E5" s="40"/>
      <c r="F5" s="6" t="s">
        <v>8</v>
      </c>
      <c r="G5" s="7">
        <f>4*$B$7</f>
        <v>120000</v>
      </c>
      <c r="H5" s="7">
        <f t="shared" ref="H5:I5" si="1">4*$B$7</f>
        <v>120000</v>
      </c>
      <c r="I5" s="7">
        <f t="shared" si="1"/>
        <v>120000</v>
      </c>
      <c r="J5" s="7">
        <f>4*$B$7</f>
        <v>120000</v>
      </c>
      <c r="K5" s="4"/>
      <c r="N5" s="29" t="s">
        <v>64</v>
      </c>
      <c r="O5" s="30">
        <v>120000</v>
      </c>
      <c r="P5" s="30">
        <v>120000</v>
      </c>
      <c r="Q5" s="30" t="s">
        <v>65</v>
      </c>
      <c r="R5" s="30">
        <v>120000</v>
      </c>
    </row>
    <row r="6" spans="1:18" x14ac:dyDescent="0.45">
      <c r="A6" s="1" t="s">
        <v>7</v>
      </c>
      <c r="B6" s="2">
        <v>40000</v>
      </c>
      <c r="E6" s="40"/>
      <c r="F6" s="6" t="s">
        <v>9</v>
      </c>
      <c r="G6" s="7">
        <f>4*$B$8</f>
        <v>60000</v>
      </c>
      <c r="H6" s="7">
        <f t="shared" ref="H6:J6" si="2">4*$B$8</f>
        <v>60000</v>
      </c>
      <c r="I6" s="7">
        <f t="shared" si="2"/>
        <v>60000</v>
      </c>
      <c r="J6" s="7">
        <f t="shared" si="2"/>
        <v>60000</v>
      </c>
      <c r="K6" s="4"/>
      <c r="N6" s="29" t="s">
        <v>66</v>
      </c>
      <c r="O6" s="30">
        <v>0</v>
      </c>
      <c r="P6" s="30">
        <v>0</v>
      </c>
      <c r="Q6" s="30">
        <v>0</v>
      </c>
      <c r="R6" s="30">
        <v>0</v>
      </c>
    </row>
    <row r="7" spans="1:18" x14ac:dyDescent="0.45">
      <c r="A7" s="1" t="s">
        <v>8</v>
      </c>
      <c r="B7" s="2">
        <v>30000</v>
      </c>
      <c r="E7" s="6"/>
      <c r="F7" s="6"/>
      <c r="G7" s="7">
        <f>SUM(G4:G6)</f>
        <v>340000</v>
      </c>
      <c r="H7" s="7">
        <f>SUM(H4:H6)</f>
        <v>340000</v>
      </c>
      <c r="I7" s="7">
        <f>SUM(I4:I6)</f>
        <v>340000</v>
      </c>
      <c r="J7" s="7">
        <f>SUM(J4:J6)</f>
        <v>340000</v>
      </c>
      <c r="K7" s="8">
        <f>SUM(G7:J7)</f>
        <v>1360000</v>
      </c>
      <c r="N7" s="29" t="s">
        <v>67</v>
      </c>
      <c r="O7" s="30">
        <v>0</v>
      </c>
      <c r="P7" s="30">
        <v>0</v>
      </c>
      <c r="Q7" s="30">
        <v>0</v>
      </c>
      <c r="R7" s="30">
        <v>0</v>
      </c>
    </row>
    <row r="8" spans="1:18" x14ac:dyDescent="0.45">
      <c r="A8" s="1" t="s">
        <v>9</v>
      </c>
      <c r="B8" s="2">
        <v>15000</v>
      </c>
      <c r="E8" s="6"/>
      <c r="F8" s="6"/>
      <c r="G8" s="9"/>
      <c r="H8" s="9"/>
      <c r="I8" s="9"/>
      <c r="J8" s="9"/>
      <c r="K8" s="4"/>
      <c r="N8" s="29" t="s">
        <v>68</v>
      </c>
      <c r="O8" s="30">
        <v>0</v>
      </c>
      <c r="P8" s="30">
        <v>0</v>
      </c>
      <c r="Q8" s="30">
        <v>0</v>
      </c>
      <c r="R8" s="30">
        <v>0</v>
      </c>
    </row>
    <row r="9" spans="1:18" x14ac:dyDescent="0.45">
      <c r="E9" s="51" t="s">
        <v>22</v>
      </c>
      <c r="F9" s="6" t="s">
        <v>10</v>
      </c>
      <c r="G9" s="7">
        <f>39000*4</f>
        <v>156000</v>
      </c>
      <c r="H9" s="7">
        <f t="shared" ref="H9:J9" si="3">39000*4</f>
        <v>156000</v>
      </c>
      <c r="I9" s="7">
        <f t="shared" si="3"/>
        <v>156000</v>
      </c>
      <c r="J9" s="7">
        <f t="shared" si="3"/>
        <v>156000</v>
      </c>
      <c r="K9" s="8">
        <f>SUM(G9:J9)</f>
        <v>624000</v>
      </c>
      <c r="N9" s="29" t="s">
        <v>69</v>
      </c>
      <c r="O9" s="30">
        <v>60000</v>
      </c>
      <c r="P9" s="30">
        <v>60000</v>
      </c>
      <c r="Q9" s="30">
        <v>60000</v>
      </c>
      <c r="R9" s="30">
        <v>60000</v>
      </c>
    </row>
    <row r="10" spans="1:18" x14ac:dyDescent="0.45">
      <c r="E10" s="51"/>
      <c r="F10" s="6" t="s">
        <v>11</v>
      </c>
      <c r="G10" s="7">
        <f>5*70000+20000+25000+30000+20000+1500</f>
        <v>446500</v>
      </c>
      <c r="H10" s="7">
        <v>0</v>
      </c>
      <c r="I10" s="7">
        <v>0</v>
      </c>
      <c r="J10" s="7">
        <v>0</v>
      </c>
      <c r="K10" s="4"/>
      <c r="N10" s="29" t="s">
        <v>70</v>
      </c>
      <c r="O10" s="30">
        <v>0</v>
      </c>
      <c r="P10" s="30">
        <v>0</v>
      </c>
      <c r="Q10" s="30">
        <v>0</v>
      </c>
      <c r="R10" s="30">
        <v>0</v>
      </c>
    </row>
    <row r="11" spans="1:18" x14ac:dyDescent="0.45">
      <c r="E11" s="6"/>
      <c r="F11" s="6"/>
      <c r="G11" s="7">
        <f>SUM(G9:G10)</f>
        <v>602500</v>
      </c>
      <c r="H11" s="7">
        <f>SUM(H9:H10)</f>
        <v>156000</v>
      </c>
      <c r="I11" s="7">
        <f>SUM(I9:I10)</f>
        <v>156000</v>
      </c>
      <c r="J11" s="7">
        <f>SUM(J9:J10)</f>
        <v>156000</v>
      </c>
      <c r="K11" s="8">
        <f>SUM(G11:J11)</f>
        <v>1070500</v>
      </c>
      <c r="N11" s="29" t="s">
        <v>71</v>
      </c>
      <c r="O11" s="30">
        <v>340000</v>
      </c>
      <c r="P11" s="30">
        <v>340000</v>
      </c>
      <c r="Q11" s="30">
        <v>340000</v>
      </c>
      <c r="R11" s="30">
        <v>340000</v>
      </c>
    </row>
    <row r="12" spans="1:18" x14ac:dyDescent="0.45">
      <c r="E12" s="6"/>
      <c r="F12" s="6"/>
      <c r="G12" s="9"/>
      <c r="H12" s="9"/>
      <c r="I12" s="9"/>
      <c r="J12" s="9"/>
      <c r="K12" s="4"/>
      <c r="N12" s="37" t="s">
        <v>41</v>
      </c>
      <c r="O12" s="38"/>
      <c r="P12" s="38"/>
      <c r="Q12" s="39"/>
      <c r="R12" s="7" t="s">
        <v>72</v>
      </c>
    </row>
    <row r="13" spans="1:18" x14ac:dyDescent="0.45">
      <c r="E13" s="6" t="s">
        <v>21</v>
      </c>
      <c r="F13" s="6"/>
      <c r="G13" s="7">
        <f>1050+1000+500+400</f>
        <v>2950</v>
      </c>
      <c r="H13" s="7">
        <v>0</v>
      </c>
      <c r="I13" s="7">
        <f>1050+1000+500</f>
        <v>2550</v>
      </c>
      <c r="J13" s="7">
        <v>0</v>
      </c>
      <c r="K13" s="4"/>
    </row>
    <row r="14" spans="1:18" x14ac:dyDescent="0.45">
      <c r="E14" s="6"/>
      <c r="F14" s="6"/>
      <c r="G14" s="7"/>
      <c r="H14" s="7"/>
      <c r="I14" s="7"/>
      <c r="J14" s="7"/>
      <c r="K14" s="4"/>
    </row>
    <row r="15" spans="1:18" x14ac:dyDescent="0.45">
      <c r="E15" s="48" t="s">
        <v>20</v>
      </c>
      <c r="F15" s="6" t="s">
        <v>27</v>
      </c>
      <c r="G15" s="7">
        <f>4*($B$1+$B$3+$B$2+$B$4)</f>
        <v>1320000</v>
      </c>
      <c r="H15" s="7">
        <f t="shared" ref="H15:J15" si="4">4*($B$1+$B$3+$B$2+$B$4)</f>
        <v>1320000</v>
      </c>
      <c r="I15" s="7">
        <f t="shared" si="4"/>
        <v>1320000</v>
      </c>
      <c r="J15" s="7">
        <f t="shared" si="4"/>
        <v>1320000</v>
      </c>
      <c r="K15" s="4"/>
    </row>
    <row r="16" spans="1:18" x14ac:dyDescent="0.45">
      <c r="E16" s="49"/>
      <c r="F16" s="6" t="s">
        <v>28</v>
      </c>
      <c r="G16" s="7">
        <f>G15*1.14</f>
        <v>1504799.9999999998</v>
      </c>
      <c r="H16" s="7">
        <f t="shared" ref="H16:J16" si="5">H15*1.14</f>
        <v>1504799.9999999998</v>
      </c>
      <c r="I16" s="7">
        <f t="shared" si="5"/>
        <v>1504799.9999999998</v>
      </c>
      <c r="J16" s="7">
        <f t="shared" si="5"/>
        <v>1504799.9999999998</v>
      </c>
      <c r="K16" s="4"/>
    </row>
    <row r="17" spans="5:11" x14ac:dyDescent="0.45">
      <c r="E17" s="49"/>
      <c r="F17" s="6" t="s">
        <v>29</v>
      </c>
      <c r="G17" s="7">
        <f>G16*1.3</f>
        <v>1956239.9999999998</v>
      </c>
      <c r="H17" s="7">
        <f t="shared" ref="H17:J17" si="6">H16*1.3</f>
        <v>1956239.9999999998</v>
      </c>
      <c r="I17" s="7">
        <f t="shared" si="6"/>
        <v>1956239.9999999998</v>
      </c>
      <c r="J17" s="7">
        <f t="shared" si="6"/>
        <v>1956239.9999999998</v>
      </c>
      <c r="K17" s="4"/>
    </row>
    <row r="18" spans="5:11" x14ac:dyDescent="0.45">
      <c r="E18" s="50"/>
      <c r="F18" s="6"/>
      <c r="G18" s="7">
        <f>G17</f>
        <v>1956239.9999999998</v>
      </c>
      <c r="H18" s="7">
        <f t="shared" ref="H18:J18" si="7">H17</f>
        <v>1956239.9999999998</v>
      </c>
      <c r="I18" s="7">
        <f t="shared" si="7"/>
        <v>1956239.9999999998</v>
      </c>
      <c r="J18" s="7">
        <f t="shared" si="7"/>
        <v>1956239.9999999998</v>
      </c>
      <c r="K18" s="8">
        <f>SUM(G18:J18)</f>
        <v>7824959.9999999991</v>
      </c>
    </row>
    <row r="19" spans="5:11" x14ac:dyDescent="0.45">
      <c r="E19" s="10"/>
      <c r="F19" s="6"/>
      <c r="G19" s="7"/>
      <c r="H19" s="7"/>
      <c r="I19" s="7"/>
      <c r="J19" s="7"/>
      <c r="K19" s="4"/>
    </row>
    <row r="20" spans="5:11" ht="30.75" x14ac:dyDescent="0.45">
      <c r="E20" s="48" t="s">
        <v>19</v>
      </c>
      <c r="F20" s="6" t="s">
        <v>17</v>
      </c>
      <c r="G20" s="7">
        <f>4*454.4</f>
        <v>1817.6</v>
      </c>
      <c r="H20" s="7">
        <f t="shared" ref="H20:I20" si="8">4*454.4</f>
        <v>1817.6</v>
      </c>
      <c r="I20" s="7">
        <f t="shared" si="8"/>
        <v>1817.6</v>
      </c>
      <c r="J20" s="7">
        <f>4*454.4</f>
        <v>1817.6</v>
      </c>
      <c r="K20" s="4"/>
    </row>
    <row r="21" spans="5:11" x14ac:dyDescent="0.45">
      <c r="E21" s="49"/>
      <c r="F21" s="6" t="s">
        <v>18</v>
      </c>
      <c r="G21" s="7">
        <f>(370000*33.3/100)/4</f>
        <v>30802.499999999996</v>
      </c>
      <c r="H21" s="7">
        <f t="shared" ref="H21:J21" si="9">(370000*33.3/100)/4</f>
        <v>30802.499999999996</v>
      </c>
      <c r="I21" s="7">
        <f t="shared" si="9"/>
        <v>30802.499999999996</v>
      </c>
      <c r="J21" s="7">
        <f t="shared" si="9"/>
        <v>30802.499999999996</v>
      </c>
      <c r="K21" s="4"/>
    </row>
    <row r="22" spans="5:11" x14ac:dyDescent="0.45">
      <c r="E22" s="50"/>
      <c r="F22" s="6"/>
      <c r="G22" s="7">
        <f>SUM(G20:G21)</f>
        <v>32620.099999999995</v>
      </c>
      <c r="H22" s="7">
        <f t="shared" ref="H22:J22" si="10">SUM(H20:H21)</f>
        <v>32620.099999999995</v>
      </c>
      <c r="I22" s="7">
        <f t="shared" si="10"/>
        <v>32620.099999999995</v>
      </c>
      <c r="J22" s="7">
        <f t="shared" si="10"/>
        <v>32620.099999999995</v>
      </c>
      <c r="K22" s="8">
        <f>SUM(G22:J22)</f>
        <v>130480.39999999998</v>
      </c>
    </row>
    <row r="23" spans="5:11" x14ac:dyDescent="0.45">
      <c r="E23" s="6"/>
      <c r="F23" s="6"/>
      <c r="G23" s="9"/>
      <c r="H23" s="9"/>
      <c r="I23" s="9"/>
      <c r="J23" s="9"/>
      <c r="K23" s="4"/>
    </row>
    <row r="24" spans="5:11" ht="42.75" customHeight="1" x14ac:dyDescent="0.45">
      <c r="E24" s="48" t="s">
        <v>12</v>
      </c>
      <c r="F24" s="11" t="s">
        <v>13</v>
      </c>
      <c r="G24" s="9">
        <f>G18</f>
        <v>1956239.9999999998</v>
      </c>
      <c r="H24" s="9">
        <f t="shared" ref="H24:I24" si="11">H18</f>
        <v>1956239.9999999998</v>
      </c>
      <c r="I24" s="9">
        <f t="shared" si="11"/>
        <v>1956239.9999999998</v>
      </c>
      <c r="J24" s="9">
        <f>J18</f>
        <v>1956239.9999999998</v>
      </c>
      <c r="K24" s="4"/>
    </row>
    <row r="25" spans="5:11" x14ac:dyDescent="0.45">
      <c r="E25" s="49"/>
      <c r="F25" s="3" t="s">
        <v>14</v>
      </c>
      <c r="G25" s="7">
        <f>G9</f>
        <v>156000</v>
      </c>
      <c r="H25" s="7">
        <f t="shared" ref="H25:J25" si="12">H9</f>
        <v>156000</v>
      </c>
      <c r="I25" s="7">
        <f t="shared" si="12"/>
        <v>156000</v>
      </c>
      <c r="J25" s="7">
        <f t="shared" si="12"/>
        <v>156000</v>
      </c>
      <c r="K25" s="4"/>
    </row>
    <row r="26" spans="5:11" x14ac:dyDescent="0.45">
      <c r="E26" s="49"/>
      <c r="F26" s="3" t="s">
        <v>15</v>
      </c>
      <c r="G26" s="7">
        <f>G7</f>
        <v>340000</v>
      </c>
      <c r="H26" s="7">
        <f t="shared" ref="H26:J26" si="13">H7</f>
        <v>340000</v>
      </c>
      <c r="I26" s="7">
        <f t="shared" si="13"/>
        <v>340000</v>
      </c>
      <c r="J26" s="7">
        <f t="shared" si="13"/>
        <v>340000</v>
      </c>
      <c r="K26" s="4"/>
    </row>
    <row r="27" spans="5:11" x14ac:dyDescent="0.45">
      <c r="E27" s="49"/>
      <c r="F27" s="3" t="s">
        <v>16</v>
      </c>
      <c r="G27" s="7">
        <f>G13</f>
        <v>2950</v>
      </c>
      <c r="H27" s="7">
        <f t="shared" ref="H27:J27" si="14">H13</f>
        <v>0</v>
      </c>
      <c r="I27" s="7">
        <f t="shared" si="14"/>
        <v>2550</v>
      </c>
      <c r="J27" s="7">
        <f t="shared" si="14"/>
        <v>0</v>
      </c>
      <c r="K27" s="4"/>
    </row>
    <row r="28" spans="5:11" x14ac:dyDescent="0.45">
      <c r="E28" s="50"/>
      <c r="F28" s="3"/>
      <c r="G28" s="7">
        <f>SUM(G24:G27)</f>
        <v>2455190</v>
      </c>
      <c r="H28" s="7">
        <f t="shared" ref="H28:J28" si="15">SUM(H24:H27)</f>
        <v>2452240</v>
      </c>
      <c r="I28" s="7">
        <f t="shared" si="15"/>
        <v>2454790</v>
      </c>
      <c r="J28" s="7">
        <f t="shared" si="15"/>
        <v>2452240</v>
      </c>
      <c r="K28" s="8">
        <f>SUM(G28:J28)</f>
        <v>9814460</v>
      </c>
    </row>
    <row r="29" spans="5:11" x14ac:dyDescent="0.45">
      <c r="E29" s="3"/>
      <c r="F29" s="3"/>
      <c r="G29" s="7"/>
      <c r="H29" s="7"/>
      <c r="I29" s="7"/>
      <c r="J29" s="7"/>
      <c r="K29" s="4"/>
    </row>
    <row r="30" spans="5:11" x14ac:dyDescent="0.45">
      <c r="E30" s="44" t="s">
        <v>30</v>
      </c>
      <c r="F30" s="12" t="s">
        <v>24</v>
      </c>
      <c r="G30" s="7">
        <f>G10</f>
        <v>446500</v>
      </c>
      <c r="H30" s="7">
        <f t="shared" ref="H30:J30" si="16">H10</f>
        <v>0</v>
      </c>
      <c r="I30" s="7">
        <f t="shared" si="16"/>
        <v>0</v>
      </c>
      <c r="J30" s="7">
        <f t="shared" si="16"/>
        <v>0</v>
      </c>
      <c r="K30" s="5"/>
    </row>
    <row r="31" spans="5:11" x14ac:dyDescent="0.45">
      <c r="E31" s="45"/>
      <c r="F31" s="12" t="s">
        <v>16</v>
      </c>
      <c r="G31" s="9">
        <f>G13</f>
        <v>2950</v>
      </c>
      <c r="H31" s="9">
        <f t="shared" ref="H31:J31" si="17">H13</f>
        <v>0</v>
      </c>
      <c r="I31" s="9">
        <f t="shared" si="17"/>
        <v>2550</v>
      </c>
      <c r="J31" s="9">
        <f t="shared" si="17"/>
        <v>0</v>
      </c>
      <c r="K31" s="3"/>
    </row>
    <row r="32" spans="5:11" x14ac:dyDescent="0.45">
      <c r="E32" s="45"/>
      <c r="F32" s="12" t="s">
        <v>14</v>
      </c>
      <c r="G32" s="9">
        <f>G9</f>
        <v>156000</v>
      </c>
      <c r="H32" s="9">
        <f t="shared" ref="H32:J32" si="18">H9</f>
        <v>156000</v>
      </c>
      <c r="I32" s="9">
        <f t="shared" si="18"/>
        <v>156000</v>
      </c>
      <c r="J32" s="9">
        <f t="shared" si="18"/>
        <v>156000</v>
      </c>
      <c r="K32" s="3"/>
    </row>
    <row r="33" spans="5:18" x14ac:dyDescent="0.45">
      <c r="E33" s="45"/>
      <c r="F33" s="12" t="s">
        <v>25</v>
      </c>
      <c r="G33" s="9">
        <f>G18</f>
        <v>1956239.9999999998</v>
      </c>
      <c r="H33" s="9">
        <f t="shared" ref="H33:J33" si="19">H18</f>
        <v>1956239.9999999998</v>
      </c>
      <c r="I33" s="9">
        <f t="shared" si="19"/>
        <v>1956239.9999999998</v>
      </c>
      <c r="J33" s="9">
        <f t="shared" si="19"/>
        <v>1956239.9999999998</v>
      </c>
      <c r="K33" s="3"/>
    </row>
    <row r="34" spans="5:18" x14ac:dyDescent="0.45">
      <c r="E34" s="45"/>
      <c r="F34" s="12" t="s">
        <v>15</v>
      </c>
      <c r="G34" s="9">
        <f>G7</f>
        <v>340000</v>
      </c>
      <c r="H34" s="9">
        <f t="shared" ref="H34:J34" si="20">H7</f>
        <v>340000</v>
      </c>
      <c r="I34" s="9">
        <f t="shared" si="20"/>
        <v>340000</v>
      </c>
      <c r="J34" s="9">
        <f t="shared" si="20"/>
        <v>340000</v>
      </c>
      <c r="K34" s="3"/>
    </row>
    <row r="35" spans="5:18" ht="30.75" x14ac:dyDescent="0.45">
      <c r="E35" s="45"/>
      <c r="F35" s="12" t="s">
        <v>17</v>
      </c>
      <c r="G35" s="9">
        <f>G20</f>
        <v>1817.6</v>
      </c>
      <c r="H35" s="9">
        <f t="shared" ref="H35:J35" si="21">H20</f>
        <v>1817.6</v>
      </c>
      <c r="I35" s="9">
        <f t="shared" si="21"/>
        <v>1817.6</v>
      </c>
      <c r="J35" s="9">
        <f t="shared" si="21"/>
        <v>1817.6</v>
      </c>
      <c r="K35" s="3"/>
    </row>
    <row r="36" spans="5:18" x14ac:dyDescent="0.45">
      <c r="E36" s="45"/>
      <c r="F36" s="12" t="s">
        <v>18</v>
      </c>
      <c r="G36" s="9">
        <f>G21</f>
        <v>30802.499999999996</v>
      </c>
      <c r="H36" s="9">
        <f t="shared" ref="H36:J36" si="22">H21</f>
        <v>30802.499999999996</v>
      </c>
      <c r="I36" s="9">
        <f t="shared" si="22"/>
        <v>30802.499999999996</v>
      </c>
      <c r="J36" s="9">
        <f t="shared" si="22"/>
        <v>30802.499999999996</v>
      </c>
      <c r="K36" s="3"/>
    </row>
    <row r="37" spans="5:18" x14ac:dyDescent="0.45">
      <c r="E37" s="45"/>
      <c r="F37" s="12" t="s">
        <v>26</v>
      </c>
      <c r="G37" s="13">
        <v>50000</v>
      </c>
      <c r="H37" s="13">
        <v>50000</v>
      </c>
      <c r="I37" s="13">
        <v>50000</v>
      </c>
      <c r="J37" s="13">
        <v>50000</v>
      </c>
      <c r="K37" s="3"/>
    </row>
    <row r="38" spans="5:18" x14ac:dyDescent="0.45">
      <c r="E38" s="46"/>
      <c r="F38" s="3"/>
      <c r="G38" s="9">
        <f>SUM(G30:G37)</f>
        <v>2984310.1</v>
      </c>
      <c r="H38" s="9">
        <f>SUM(H30:H37)</f>
        <v>2534860.1</v>
      </c>
      <c r="I38" s="9">
        <f>SUM(I30:I37)</f>
        <v>2537410.1</v>
      </c>
      <c r="J38" s="9">
        <f>SUM(J30:J37)</f>
        <v>2534860.1</v>
      </c>
      <c r="K38" s="9">
        <f>SUM(G38:J38)</f>
        <v>10591440.4</v>
      </c>
    </row>
    <row r="39" spans="5:18" x14ac:dyDescent="0.45">
      <c r="K39" s="14">
        <f>11000000-K38</f>
        <v>408559.59999999963</v>
      </c>
    </row>
    <row r="41" spans="5:18" ht="18" customHeight="1" x14ac:dyDescent="0.45">
      <c r="F41" s="47" t="s">
        <v>36</v>
      </c>
      <c r="G41" s="40" t="s">
        <v>42</v>
      </c>
      <c r="H41" s="40"/>
      <c r="I41" s="40"/>
      <c r="J41" s="40"/>
      <c r="K41" s="41" t="s">
        <v>41</v>
      </c>
      <c r="M41" s="41" t="s">
        <v>44</v>
      </c>
      <c r="N41" s="40" t="s">
        <v>42</v>
      </c>
      <c r="O41" s="40"/>
      <c r="P41" s="40"/>
      <c r="Q41" s="40"/>
      <c r="R41" s="42" t="s">
        <v>45</v>
      </c>
    </row>
    <row r="42" spans="5:18" x14ac:dyDescent="0.45">
      <c r="F42" s="47"/>
      <c r="G42" s="5" t="s">
        <v>37</v>
      </c>
      <c r="H42" s="5" t="s">
        <v>38</v>
      </c>
      <c r="I42" s="5" t="s">
        <v>39</v>
      </c>
      <c r="J42" s="5" t="s">
        <v>40</v>
      </c>
      <c r="K42" s="41"/>
      <c r="M42" s="41"/>
      <c r="N42" s="22" t="s">
        <v>37</v>
      </c>
      <c r="O42" s="22" t="s">
        <v>38</v>
      </c>
      <c r="P42" s="22" t="s">
        <v>39</v>
      </c>
      <c r="Q42" s="22" t="s">
        <v>40</v>
      </c>
      <c r="R42" s="43"/>
    </row>
    <row r="43" spans="5:18" ht="30.75" x14ac:dyDescent="0.45">
      <c r="F43" s="12" t="s">
        <v>31</v>
      </c>
      <c r="G43" s="15">
        <f>N45</f>
        <v>3000000</v>
      </c>
      <c r="H43" s="15">
        <f t="shared" ref="H43:I43" si="23">O45</f>
        <v>6000000</v>
      </c>
      <c r="I43" s="15">
        <f t="shared" si="23"/>
        <v>18000000</v>
      </c>
      <c r="J43" s="15">
        <f>Q45</f>
        <v>24000000</v>
      </c>
      <c r="K43" s="15">
        <f>SUM(G43:J43)</f>
        <v>51000000</v>
      </c>
      <c r="M43" s="12" t="s">
        <v>46</v>
      </c>
      <c r="N43" s="22">
        <v>30</v>
      </c>
      <c r="O43" s="22">
        <v>60</v>
      </c>
      <c r="P43" s="22">
        <v>90</v>
      </c>
      <c r="Q43" s="22">
        <v>120</v>
      </c>
      <c r="R43" s="5">
        <f>SUM(N43:Q43)</f>
        <v>300</v>
      </c>
    </row>
    <row r="44" spans="5:18" ht="30.75" x14ac:dyDescent="0.45">
      <c r="F44" s="12" t="s">
        <v>32</v>
      </c>
      <c r="G44" s="15">
        <f>G43-G38</f>
        <v>15689.899999999907</v>
      </c>
      <c r="H44" s="15">
        <f>H43-H38</f>
        <v>3465139.9</v>
      </c>
      <c r="I44" s="15">
        <f>I43-I38</f>
        <v>15462589.9</v>
      </c>
      <c r="J44" s="15">
        <f>J43-J38</f>
        <v>21465139.899999999</v>
      </c>
      <c r="K44" s="15">
        <f t="shared" ref="K44:K48" si="24">SUM(G44:J44)</f>
        <v>40408559.599999994</v>
      </c>
      <c r="M44" s="12" t="s">
        <v>57</v>
      </c>
      <c r="N44" s="20">
        <v>100000</v>
      </c>
      <c r="O44" s="20">
        <v>100000</v>
      </c>
      <c r="P44" s="20">
        <v>200000</v>
      </c>
      <c r="Q44" s="20">
        <v>200000</v>
      </c>
      <c r="R44" s="20">
        <v>1000000</v>
      </c>
    </row>
    <row r="45" spans="5:18" x14ac:dyDescent="0.45">
      <c r="F45" s="12" t="s">
        <v>33</v>
      </c>
      <c r="G45" s="15">
        <f>G38+G47</f>
        <v>4784310.0999999996</v>
      </c>
      <c r="H45" s="15">
        <f t="shared" ref="H45:I45" si="25">H38+H47</f>
        <v>6134860.0999999996</v>
      </c>
      <c r="I45" s="15">
        <f t="shared" si="25"/>
        <v>13337410.1</v>
      </c>
      <c r="J45" s="15">
        <f>J38+J47</f>
        <v>16934860.100000001</v>
      </c>
      <c r="K45" s="15">
        <f t="shared" si="24"/>
        <v>41191440.399999999</v>
      </c>
      <c r="M45" s="12" t="s">
        <v>59</v>
      </c>
      <c r="N45" s="20">
        <f>N43*N44</f>
        <v>3000000</v>
      </c>
      <c r="O45" s="20">
        <f t="shared" ref="O45:Q45" si="26">O43*O44</f>
        <v>6000000</v>
      </c>
      <c r="P45" s="20">
        <f t="shared" si="26"/>
        <v>18000000</v>
      </c>
      <c r="Q45" s="20">
        <f t="shared" si="26"/>
        <v>24000000</v>
      </c>
      <c r="R45" s="23">
        <f>SUM(N45:Q45)</f>
        <v>51000000</v>
      </c>
    </row>
    <row r="46" spans="5:18" x14ac:dyDescent="0.45">
      <c r="F46" s="12" t="s">
        <v>34</v>
      </c>
      <c r="G46" s="15">
        <f>G43-G45</f>
        <v>-1784310.0999999996</v>
      </c>
      <c r="H46" s="15">
        <f t="shared" ref="H46:J46" si="27">H43-H45</f>
        <v>-134860.09999999963</v>
      </c>
      <c r="I46" s="15">
        <f t="shared" si="27"/>
        <v>4662589.9000000004</v>
      </c>
      <c r="J46" s="15">
        <f t="shared" si="27"/>
        <v>7065139.8999999985</v>
      </c>
      <c r="K46" s="15">
        <f t="shared" si="24"/>
        <v>9808559.5999999996</v>
      </c>
      <c r="M46" s="26"/>
      <c r="N46" s="27"/>
      <c r="O46" s="27"/>
      <c r="P46" s="27"/>
      <c r="Q46" s="27"/>
      <c r="R46" s="27"/>
    </row>
    <row r="47" spans="5:18" x14ac:dyDescent="0.45">
      <c r="F47" s="12" t="s">
        <v>35</v>
      </c>
      <c r="G47" s="3">
        <f>G43*0.6</f>
        <v>1800000</v>
      </c>
      <c r="H47" s="3">
        <f t="shared" ref="H47:J47" si="28">H43*0.6</f>
        <v>3600000</v>
      </c>
      <c r="I47" s="3">
        <f t="shared" si="28"/>
        <v>10800000</v>
      </c>
      <c r="J47" s="3">
        <f t="shared" si="28"/>
        <v>14400000</v>
      </c>
      <c r="K47" s="15">
        <f t="shared" si="24"/>
        <v>30600000</v>
      </c>
      <c r="M47" s="24"/>
      <c r="N47" s="25"/>
      <c r="O47" s="25"/>
      <c r="P47" s="25"/>
      <c r="Q47" s="25"/>
      <c r="R47" s="25"/>
    </row>
    <row r="48" spans="5:18" x14ac:dyDescent="0.45">
      <c r="F48" s="17" t="s">
        <v>43</v>
      </c>
      <c r="G48" s="16">
        <f>G46+G47</f>
        <v>15689.900000000373</v>
      </c>
      <c r="H48" s="16">
        <f t="shared" ref="H48:J48" si="29">H46+H47</f>
        <v>3465139.9000000004</v>
      </c>
      <c r="I48" s="16">
        <f t="shared" si="29"/>
        <v>15462589.9</v>
      </c>
      <c r="J48" s="16">
        <f t="shared" si="29"/>
        <v>21465139.899999999</v>
      </c>
      <c r="K48" s="15">
        <f t="shared" si="24"/>
        <v>40408559.600000001</v>
      </c>
    </row>
    <row r="50" spans="6:11" x14ac:dyDescent="0.45">
      <c r="F50" s="40" t="s">
        <v>36</v>
      </c>
      <c r="G50" s="40" t="s">
        <v>42</v>
      </c>
      <c r="H50" s="40"/>
      <c r="I50" s="40"/>
      <c r="J50" s="40"/>
      <c r="K50" s="41" t="s">
        <v>41</v>
      </c>
    </row>
    <row r="51" spans="6:11" x14ac:dyDescent="0.45">
      <c r="F51" s="40"/>
      <c r="G51" s="5" t="s">
        <v>37</v>
      </c>
      <c r="H51" s="5" t="s">
        <v>38</v>
      </c>
      <c r="I51" s="5" t="s">
        <v>39</v>
      </c>
      <c r="J51" s="5" t="s">
        <v>40</v>
      </c>
      <c r="K51" s="41"/>
    </row>
    <row r="52" spans="6:11" x14ac:dyDescent="0.45">
      <c r="F52" s="19" t="s">
        <v>47</v>
      </c>
      <c r="G52" s="20">
        <v>0</v>
      </c>
      <c r="H52" s="20">
        <f>G63</f>
        <v>2773689.9000000004</v>
      </c>
      <c r="I52" s="20">
        <f>H63</f>
        <v>196829.80000000075</v>
      </c>
      <c r="J52" s="20">
        <f>I63</f>
        <v>2417419.7000000011</v>
      </c>
      <c r="K52" s="5"/>
    </row>
    <row r="53" spans="6:11" ht="30.75" x14ac:dyDescent="0.45">
      <c r="F53" s="19" t="s">
        <v>48</v>
      </c>
      <c r="G53" s="20">
        <f>N45+7000000</f>
        <v>10000000</v>
      </c>
      <c r="H53" s="20">
        <f t="shared" ref="H53:J53" si="30">O45</f>
        <v>6000000</v>
      </c>
      <c r="I53" s="20">
        <f t="shared" si="30"/>
        <v>18000000</v>
      </c>
      <c r="J53" s="20">
        <f t="shared" si="30"/>
        <v>24000000</v>
      </c>
      <c r="K53" s="20">
        <f>SUM(G53:J53)</f>
        <v>58000000</v>
      </c>
    </row>
    <row r="54" spans="6:11" x14ac:dyDescent="0.45">
      <c r="F54" s="19" t="s">
        <v>49</v>
      </c>
      <c r="G54" s="20">
        <f>SUM(G55:G62)</f>
        <v>7226310.0999999996</v>
      </c>
      <c r="H54" s="20">
        <f t="shared" ref="H54:I54" si="31">SUM(H55:H62)</f>
        <v>8576860.0999999996</v>
      </c>
      <c r="I54" s="20">
        <f t="shared" si="31"/>
        <v>15779410.1</v>
      </c>
      <c r="J54" s="20">
        <f>SUM(J55:J62)</f>
        <v>19376860.100000001</v>
      </c>
      <c r="K54" s="20">
        <f>SUM(G54:J54)</f>
        <v>50959440.399999999</v>
      </c>
    </row>
    <row r="55" spans="6:11" x14ac:dyDescent="0.45">
      <c r="F55" s="19" t="s">
        <v>50</v>
      </c>
      <c r="G55" s="20">
        <f>G33</f>
        <v>1956239.9999999998</v>
      </c>
      <c r="H55" s="20">
        <f>H33</f>
        <v>1956239.9999999998</v>
      </c>
      <c r="I55" s="20">
        <f>I33</f>
        <v>1956239.9999999998</v>
      </c>
      <c r="J55" s="20">
        <f>J33</f>
        <v>1956239.9999999998</v>
      </c>
      <c r="K55" s="21"/>
    </row>
    <row r="56" spans="6:11" x14ac:dyDescent="0.45">
      <c r="F56" s="19" t="s">
        <v>51</v>
      </c>
      <c r="G56" s="20">
        <f t="shared" ref="G56:J57" si="32">G9</f>
        <v>156000</v>
      </c>
      <c r="H56" s="20">
        <f t="shared" si="32"/>
        <v>156000</v>
      </c>
      <c r="I56" s="20">
        <f t="shared" si="32"/>
        <v>156000</v>
      </c>
      <c r="J56" s="20">
        <f t="shared" si="32"/>
        <v>156000</v>
      </c>
      <c r="K56" s="5"/>
    </row>
    <row r="57" spans="6:11" ht="15.4" customHeight="1" x14ac:dyDescent="0.45">
      <c r="F57" s="19" t="s">
        <v>56</v>
      </c>
      <c r="G57" s="20">
        <f t="shared" si="32"/>
        <v>446500</v>
      </c>
      <c r="H57" s="20">
        <f t="shared" si="32"/>
        <v>0</v>
      </c>
      <c r="I57" s="20">
        <f t="shared" si="32"/>
        <v>0</v>
      </c>
      <c r="J57" s="20">
        <f t="shared" si="32"/>
        <v>0</v>
      </c>
      <c r="K57" s="5"/>
    </row>
    <row r="58" spans="6:11" x14ac:dyDescent="0.45">
      <c r="F58" s="19" t="s">
        <v>52</v>
      </c>
      <c r="G58" s="20">
        <f>G13</f>
        <v>2950</v>
      </c>
      <c r="H58" s="20">
        <f>H13</f>
        <v>0</v>
      </c>
      <c r="I58" s="20">
        <f>I13</f>
        <v>2550</v>
      </c>
      <c r="J58" s="20">
        <f>J13</f>
        <v>0</v>
      </c>
      <c r="K58" s="5"/>
    </row>
    <row r="59" spans="6:11" x14ac:dyDescent="0.45">
      <c r="F59" s="19" t="s">
        <v>53</v>
      </c>
      <c r="G59" s="20">
        <f>G7</f>
        <v>340000</v>
      </c>
      <c r="H59" s="20">
        <f>H7</f>
        <v>340000</v>
      </c>
      <c r="I59" s="20">
        <f>I7</f>
        <v>340000</v>
      </c>
      <c r="J59" s="20">
        <f>J7</f>
        <v>340000</v>
      </c>
      <c r="K59" s="5"/>
    </row>
    <row r="60" spans="6:11" x14ac:dyDescent="0.45">
      <c r="F60" s="19" t="s">
        <v>54</v>
      </c>
      <c r="G60" s="20">
        <f>G22</f>
        <v>32620.099999999995</v>
      </c>
      <c r="H60" s="20">
        <f>H22</f>
        <v>32620.099999999995</v>
      </c>
      <c r="I60" s="20">
        <f>I22</f>
        <v>32620.099999999995</v>
      </c>
      <c r="J60" s="20">
        <f>J22</f>
        <v>32620.099999999995</v>
      </c>
      <c r="K60" s="5"/>
    </row>
    <row r="61" spans="6:11" x14ac:dyDescent="0.45">
      <c r="F61" s="19" t="s">
        <v>61</v>
      </c>
      <c r="G61" s="20">
        <f>G47</f>
        <v>1800000</v>
      </c>
      <c r="H61" s="20">
        <f t="shared" ref="H61:J61" si="33">H47</f>
        <v>3600000</v>
      </c>
      <c r="I61" s="20">
        <f t="shared" si="33"/>
        <v>10800000</v>
      </c>
      <c r="J61" s="20">
        <f t="shared" si="33"/>
        <v>14400000</v>
      </c>
      <c r="K61" s="5"/>
    </row>
    <row r="62" spans="6:11" x14ac:dyDescent="0.45">
      <c r="F62" s="28" t="s">
        <v>60</v>
      </c>
      <c r="G62" s="20">
        <f>623000*4</f>
        <v>2492000</v>
      </c>
      <c r="H62" s="20">
        <f t="shared" ref="H62:J62" si="34">623000*4</f>
        <v>2492000</v>
      </c>
      <c r="I62" s="20">
        <f t="shared" si="34"/>
        <v>2492000</v>
      </c>
      <c r="J62" s="20">
        <f t="shared" si="34"/>
        <v>2492000</v>
      </c>
      <c r="K62" s="22"/>
    </row>
    <row r="63" spans="6:11" x14ac:dyDescent="0.45">
      <c r="F63" s="19" t="s">
        <v>55</v>
      </c>
      <c r="G63" s="20">
        <f>G53-G54</f>
        <v>2773689.9000000004</v>
      </c>
      <c r="H63" s="20">
        <f>H53-H54+H52</f>
        <v>196829.80000000075</v>
      </c>
      <c r="I63" s="20">
        <f t="shared" ref="I63:J63" si="35">I53-I54+I52</f>
        <v>2417419.7000000011</v>
      </c>
      <c r="J63" s="20">
        <f t="shared" si="35"/>
        <v>7040559.5999999996</v>
      </c>
      <c r="K63" s="20"/>
    </row>
    <row r="64" spans="6:11" x14ac:dyDescent="0.45">
      <c r="F64" s="18" t="s">
        <v>73</v>
      </c>
      <c r="G64" s="31">
        <f>G63</f>
        <v>2773689.9000000004</v>
      </c>
      <c r="H64" s="31">
        <f t="shared" ref="H64:J64" si="36">H63</f>
        <v>196829.80000000075</v>
      </c>
      <c r="I64" s="31">
        <f t="shared" si="36"/>
        <v>2417419.7000000011</v>
      </c>
      <c r="J64" s="31">
        <f t="shared" si="36"/>
        <v>7040559.5999999996</v>
      </c>
      <c r="K64" s="31"/>
    </row>
    <row r="66" spans="6:11" x14ac:dyDescent="0.45">
      <c r="F66" s="18" t="s">
        <v>74</v>
      </c>
      <c r="G66" s="1">
        <f>G64/(1+0.025)</f>
        <v>2706038.9268292687</v>
      </c>
      <c r="H66" s="1">
        <f t="shared" ref="H66:J66" si="37">H64/(1+0.025)</f>
        <v>192029.07317073244</v>
      </c>
      <c r="I66" s="1">
        <f t="shared" si="37"/>
        <v>2358458.2439024402</v>
      </c>
      <c r="J66" s="1">
        <f t="shared" si="37"/>
        <v>6868838.6341463421</v>
      </c>
      <c r="K66" s="1">
        <f>SUM(G66:J66)-6000000</f>
        <v>6125364.8780487832</v>
      </c>
    </row>
    <row r="67" spans="6:11" x14ac:dyDescent="0.45">
      <c r="F67" s="18" t="s">
        <v>58</v>
      </c>
      <c r="G67" s="1">
        <f>((J64-6000000)/6000000)*100</f>
        <v>17.342659999999992</v>
      </c>
    </row>
    <row r="68" spans="6:11" x14ac:dyDescent="0.45">
      <c r="F68" s="18"/>
    </row>
    <row r="69" spans="6:11" x14ac:dyDescent="0.45">
      <c r="F69" s="18"/>
    </row>
    <row r="70" spans="6:11" x14ac:dyDescent="0.45">
      <c r="F70" s="18"/>
    </row>
  </sheetData>
  <mergeCells count="19">
    <mergeCell ref="E24:E28"/>
    <mergeCell ref="G2:J2"/>
    <mergeCell ref="E9:E10"/>
    <mergeCell ref="E4:E6"/>
    <mergeCell ref="E15:E18"/>
    <mergeCell ref="E20:E22"/>
    <mergeCell ref="F50:F51"/>
    <mergeCell ref="R41:R42"/>
    <mergeCell ref="E30:E38"/>
    <mergeCell ref="F41:F42"/>
    <mergeCell ref="G41:J41"/>
    <mergeCell ref="K41:K42"/>
    <mergeCell ref="M41:M42"/>
    <mergeCell ref="N41:Q41"/>
    <mergeCell ref="N2:N3"/>
    <mergeCell ref="O2:R2"/>
    <mergeCell ref="N12:Q12"/>
    <mergeCell ref="G50:J50"/>
    <mergeCell ref="K50:K5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Боевец</dc:creator>
  <cp:lastModifiedBy>Алина Боевец</cp:lastModifiedBy>
  <dcterms:created xsi:type="dcterms:W3CDTF">2023-04-30T15:16:30Z</dcterms:created>
  <dcterms:modified xsi:type="dcterms:W3CDTF">2023-05-05T17:43:36Z</dcterms:modified>
</cp:coreProperties>
</file>