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075" yWindow="3315" windowWidth="21600" windowHeight="11835" activeTab="1"/>
  </bookViews>
  <sheets>
    <sheet name="загрузка ас" sheetId="2" r:id="rId1"/>
    <sheet name="расчет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8" i="2" l="1"/>
  <c r="V38" i="2"/>
  <c r="U38" i="2"/>
  <c r="T38" i="2"/>
  <c r="W37" i="2"/>
  <c r="V37" i="2"/>
  <c r="U37" i="2"/>
  <c r="T37" i="2"/>
  <c r="W36" i="2"/>
  <c r="V36" i="2"/>
  <c r="U36" i="2"/>
  <c r="T36" i="2"/>
  <c r="W35" i="2"/>
  <c r="V35" i="2"/>
  <c r="U35" i="2"/>
  <c r="T35" i="2"/>
  <c r="W34" i="2"/>
  <c r="V34" i="2"/>
  <c r="U34" i="2"/>
  <c r="T34" i="2"/>
  <c r="W33" i="2"/>
  <c r="V33" i="2"/>
  <c r="U33" i="2"/>
  <c r="T33" i="2"/>
  <c r="W32" i="2"/>
  <c r="V32" i="2"/>
  <c r="U32" i="2"/>
  <c r="T32" i="2"/>
  <c r="W31" i="2"/>
  <c r="V31" i="2"/>
  <c r="U31" i="2"/>
  <c r="T31" i="2"/>
  <c r="W30" i="2"/>
  <c r="V30" i="2"/>
  <c r="U30" i="2"/>
  <c r="T30" i="2"/>
  <c r="W29" i="2"/>
  <c r="V29" i="2"/>
  <c r="U29" i="2"/>
  <c r="T29" i="2"/>
  <c r="W28" i="2"/>
  <c r="V28" i="2"/>
  <c r="U28" i="2"/>
  <c r="T28" i="2"/>
  <c r="W27" i="2"/>
  <c r="V27" i="2"/>
  <c r="U27" i="2"/>
  <c r="T27" i="2"/>
  <c r="W26" i="2"/>
  <c r="V26" i="2"/>
  <c r="U26" i="2"/>
  <c r="T26" i="2"/>
  <c r="W25" i="2"/>
  <c r="V25" i="2"/>
  <c r="U25" i="2"/>
  <c r="T25" i="2"/>
  <c r="W24" i="2"/>
  <c r="V24" i="2"/>
  <c r="U24" i="2"/>
  <c r="T24" i="2"/>
  <c r="W23" i="2"/>
  <c r="V23" i="2"/>
  <c r="U23" i="2"/>
  <c r="T23" i="2"/>
  <c r="W22" i="2"/>
  <c r="V22" i="2"/>
  <c r="U22" i="2"/>
  <c r="T22" i="2"/>
  <c r="W21" i="2"/>
  <c r="V21" i="2"/>
  <c r="U21" i="2"/>
  <c r="T21" i="2"/>
  <c r="W20" i="2"/>
  <c r="V20" i="2"/>
  <c r="U20" i="2"/>
  <c r="T20" i="2"/>
  <c r="W19" i="2"/>
  <c r="V19" i="2"/>
  <c r="U19" i="2"/>
  <c r="T19" i="2"/>
  <c r="W18" i="2"/>
  <c r="V18" i="2"/>
  <c r="U18" i="2"/>
  <c r="T18" i="2"/>
  <c r="W17" i="2"/>
  <c r="V17" i="2"/>
  <c r="U17" i="2"/>
  <c r="T17" i="2"/>
  <c r="W16" i="2"/>
  <c r="V16" i="2"/>
  <c r="U16" i="2"/>
  <c r="T16" i="2"/>
  <c r="W15" i="2"/>
  <c r="V15" i="2"/>
  <c r="U15" i="2"/>
  <c r="T15" i="2"/>
  <c r="W14" i="2"/>
  <c r="V14" i="2"/>
  <c r="U14" i="2"/>
  <c r="T14" i="2"/>
  <c r="W12" i="2"/>
  <c r="V12" i="2"/>
  <c r="U12" i="2"/>
  <c r="T12" i="2"/>
  <c r="W11" i="2"/>
  <c r="V11" i="2"/>
  <c r="U11" i="2"/>
  <c r="T11" i="2"/>
  <c r="W10" i="2"/>
  <c r="V10" i="2"/>
  <c r="U10" i="2"/>
  <c r="T10" i="2"/>
  <c r="W9" i="2"/>
  <c r="V9" i="2"/>
  <c r="U9" i="2"/>
  <c r="T9" i="2"/>
  <c r="W8" i="2"/>
  <c r="V8" i="2"/>
  <c r="U8" i="2"/>
  <c r="T8" i="2"/>
  <c r="W7" i="2"/>
  <c r="V7" i="2"/>
  <c r="U7" i="2"/>
  <c r="T7" i="2"/>
  <c r="W6" i="2"/>
  <c r="V6" i="2"/>
  <c r="U6" i="2"/>
  <c r="T6" i="2"/>
  <c r="W5" i="2"/>
  <c r="W40" i="2" s="1"/>
  <c r="V5" i="2"/>
  <c r="V40" i="2" s="1"/>
  <c r="U5" i="2"/>
  <c r="U40" i="2" s="1"/>
  <c r="T5" i="2"/>
  <c r="T40" i="2" s="1"/>
  <c r="Q35" i="3" l="1"/>
  <c r="W35" i="3"/>
  <c r="X35" i="3" s="1"/>
  <c r="O33" i="3"/>
  <c r="O34" i="3" s="1"/>
  <c r="B35" i="3"/>
  <c r="H35" i="3"/>
  <c r="D35" i="3"/>
  <c r="W34" i="3"/>
  <c r="AF34" i="3" s="1"/>
  <c r="J34" i="3"/>
  <c r="G34" i="3"/>
  <c r="D34" i="3"/>
  <c r="Q34" i="3"/>
  <c r="W33" i="3"/>
  <c r="AF33" i="3" s="1"/>
  <c r="J33" i="3"/>
  <c r="G33" i="3"/>
  <c r="D33" i="3"/>
  <c r="Q33" i="3"/>
  <c r="AB32" i="3"/>
  <c r="W32" i="3"/>
  <c r="AF32" i="3" s="1"/>
  <c r="J32" i="3"/>
  <c r="H32" i="3"/>
  <c r="G32" i="3"/>
  <c r="D32" i="3"/>
  <c r="Q32" i="3"/>
  <c r="O28" i="3"/>
  <c r="G28" i="3" s="1"/>
  <c r="O27" i="3"/>
  <c r="H27" i="3" s="1"/>
  <c r="O26" i="3"/>
  <c r="AB28" i="3"/>
  <c r="AF28" i="3"/>
  <c r="Q28" i="3"/>
  <c r="J28" i="3"/>
  <c r="H28" i="3"/>
  <c r="D28" i="3"/>
  <c r="B28" i="3"/>
  <c r="AB27" i="3"/>
  <c r="W27" i="3"/>
  <c r="X27" i="3" s="1"/>
  <c r="J27" i="3"/>
  <c r="Q27" i="3"/>
  <c r="D27" i="3"/>
  <c r="AF26" i="3"/>
  <c r="AB26" i="3"/>
  <c r="W26" i="3"/>
  <c r="X26" i="3" s="1"/>
  <c r="H26" i="3"/>
  <c r="J26" i="3"/>
  <c r="D26" i="3"/>
  <c r="Q26" i="3"/>
  <c r="W25" i="3"/>
  <c r="X25" i="3" s="1"/>
  <c r="J25" i="3"/>
  <c r="H25" i="3"/>
  <c r="G25" i="3"/>
  <c r="D25" i="3"/>
  <c r="Q25" i="3"/>
  <c r="O20" i="3"/>
  <c r="O21" i="3" s="1"/>
  <c r="H21" i="3" s="1"/>
  <c r="AF21" i="3"/>
  <c r="AB21" i="3"/>
  <c r="W21" i="3"/>
  <c r="X21" i="3" s="1"/>
  <c r="J21" i="3"/>
  <c r="Q21" i="3"/>
  <c r="D21" i="3"/>
  <c r="AB20" i="3"/>
  <c r="W20" i="3"/>
  <c r="X20" i="3" s="1"/>
  <c r="J20" i="3"/>
  <c r="G20" i="3"/>
  <c r="Q20" i="3"/>
  <c r="D20" i="3"/>
  <c r="AB19" i="3"/>
  <c r="W19" i="3"/>
  <c r="AF19" i="3" s="1"/>
  <c r="J19" i="3"/>
  <c r="H19" i="3"/>
  <c r="G19" i="3"/>
  <c r="D19" i="3"/>
  <c r="Q19" i="3"/>
  <c r="O14" i="3"/>
  <c r="G14" i="3" s="1"/>
  <c r="O13" i="3"/>
  <c r="AB14" i="3"/>
  <c r="W14" i="3"/>
  <c r="X14" i="3" s="1"/>
  <c r="H14" i="3"/>
  <c r="K14" i="3" s="1"/>
  <c r="L14" i="3" s="1"/>
  <c r="N14" i="3" s="1"/>
  <c r="S14" i="3" s="1"/>
  <c r="J14" i="3"/>
  <c r="AB13" i="3"/>
  <c r="W13" i="3"/>
  <c r="X13" i="3" s="1"/>
  <c r="H13" i="3"/>
  <c r="J13" i="3"/>
  <c r="G13" i="3"/>
  <c r="D13" i="3"/>
  <c r="Q13" i="3"/>
  <c r="AB12" i="3"/>
  <c r="W12" i="3"/>
  <c r="W11" i="3" s="1"/>
  <c r="J12" i="3"/>
  <c r="K12" i="3" s="1"/>
  <c r="L12" i="3" s="1"/>
  <c r="N12" i="3" s="1"/>
  <c r="S12" i="3" s="1"/>
  <c r="H12" i="3"/>
  <c r="G12" i="3"/>
  <c r="D12" i="3"/>
  <c r="Q12" i="3"/>
  <c r="Q14" i="3"/>
  <c r="J5" i="3"/>
  <c r="H5" i="3"/>
  <c r="AB8" i="3"/>
  <c r="W8" i="3"/>
  <c r="AF8" i="3" s="1"/>
  <c r="Q8" i="3"/>
  <c r="O11" i="3" s="1"/>
  <c r="J8" i="3"/>
  <c r="H8" i="3"/>
  <c r="B8" i="3"/>
  <c r="AB7" i="3"/>
  <c r="W7" i="3"/>
  <c r="AF7" i="3" s="1"/>
  <c r="Q7" i="3"/>
  <c r="J7" i="3"/>
  <c r="B7" i="3"/>
  <c r="AB6" i="3"/>
  <c r="Q6" i="3"/>
  <c r="J6" i="3"/>
  <c r="B6" i="3"/>
  <c r="AB5" i="3"/>
  <c r="Q5" i="3"/>
  <c r="B5" i="3"/>
  <c r="W18" i="3" l="1"/>
  <c r="X12" i="3"/>
  <c r="AF27" i="3"/>
  <c r="W31" i="3"/>
  <c r="AF20" i="3"/>
  <c r="W4" i="3"/>
  <c r="W24" i="3"/>
  <c r="K35" i="3"/>
  <c r="L35" i="3"/>
  <c r="P32" i="3"/>
  <c r="U32" i="3" s="1"/>
  <c r="O35" i="3"/>
  <c r="G35" i="3" s="1"/>
  <c r="H34" i="3"/>
  <c r="H33" i="3"/>
  <c r="P33" i="3"/>
  <c r="U33" i="3" s="1"/>
  <c r="K33" i="3"/>
  <c r="L33" i="3" s="1"/>
  <c r="N33" i="3" s="1"/>
  <c r="S33" i="3" s="1"/>
  <c r="T33" i="3" s="1"/>
  <c r="K34" i="3"/>
  <c r="L34" i="3" s="1"/>
  <c r="N34" i="3" s="1"/>
  <c r="S34" i="3" s="1"/>
  <c r="T34" i="3" s="1"/>
  <c r="P34" i="3"/>
  <c r="U34" i="3" s="1"/>
  <c r="X32" i="3"/>
  <c r="K32" i="3"/>
  <c r="L32" i="3" s="1"/>
  <c r="N32" i="3" s="1"/>
  <c r="S32" i="3" s="1"/>
  <c r="T32" i="3" s="1"/>
  <c r="X33" i="3"/>
  <c r="X34" i="3"/>
  <c r="I35" i="3"/>
  <c r="K25" i="3"/>
  <c r="L25" i="3" s="1"/>
  <c r="N25" i="3" s="1"/>
  <c r="S25" i="3" s="1"/>
  <c r="T25" i="3" s="1"/>
  <c r="AF25" i="3"/>
  <c r="G27" i="3"/>
  <c r="X28" i="3"/>
  <c r="X24" i="3" s="1"/>
  <c r="G26" i="3"/>
  <c r="K28" i="3"/>
  <c r="L28" i="3" s="1"/>
  <c r="N28" i="3" s="1"/>
  <c r="S28" i="3" s="1"/>
  <c r="T28" i="3" s="1"/>
  <c r="H20" i="3"/>
  <c r="G21" i="3"/>
  <c r="X19" i="3"/>
  <c r="X18" i="3" s="1"/>
  <c r="K19" i="3"/>
  <c r="L19" i="3" s="1"/>
  <c r="N19" i="3" s="1"/>
  <c r="S19" i="3" s="1"/>
  <c r="T19" i="3" s="1"/>
  <c r="K20" i="3"/>
  <c r="L20" i="3" s="1"/>
  <c r="N20" i="3" s="1"/>
  <c r="S20" i="3" s="1"/>
  <c r="T20" i="3" s="1"/>
  <c r="X11" i="3"/>
  <c r="K13" i="3"/>
  <c r="L13" i="3" s="1"/>
  <c r="N13" i="3" s="1"/>
  <c r="T14" i="3"/>
  <c r="X5" i="3"/>
  <c r="X6" i="3"/>
  <c r="X7" i="3"/>
  <c r="X8" i="3"/>
  <c r="S13" i="3" l="1"/>
  <c r="T13" i="3" s="1"/>
  <c r="N35" i="3"/>
  <c r="S35" i="3" s="1"/>
  <c r="M35" i="3"/>
  <c r="V32" i="3"/>
  <c r="X31" i="3"/>
  <c r="P28" i="3"/>
  <c r="U28" i="3" s="1"/>
  <c r="P25" i="3"/>
  <c r="U25" i="3" s="1"/>
  <c r="K26" i="3"/>
  <c r="L26" i="3" s="1"/>
  <c r="N26" i="3" s="1"/>
  <c r="S26" i="3" s="1"/>
  <c r="T26" i="3" s="1"/>
  <c r="K27" i="3"/>
  <c r="L27" i="3" s="1"/>
  <c r="N27" i="3" s="1"/>
  <c r="S27" i="3" s="1"/>
  <c r="T27" i="3" s="1"/>
  <c r="P19" i="3"/>
  <c r="U19" i="3" s="1"/>
  <c r="P20" i="3"/>
  <c r="U20" i="3" s="1"/>
  <c r="K21" i="3"/>
  <c r="L21" i="3" s="1"/>
  <c r="N21" i="3" s="1"/>
  <c r="S21" i="3" s="1"/>
  <c r="T21" i="3" s="1"/>
  <c r="P13" i="3"/>
  <c r="U13" i="3" s="1"/>
  <c r="P14" i="3"/>
  <c r="U14" i="3" s="1"/>
  <c r="P35" i="3" l="1"/>
  <c r="U35" i="3" s="1"/>
  <c r="T35" i="3"/>
  <c r="P27" i="3"/>
  <c r="U27" i="3" s="1"/>
  <c r="P26" i="3"/>
  <c r="U26" i="3" s="1"/>
  <c r="P21" i="3"/>
  <c r="U21" i="3" s="1"/>
  <c r="V19" i="3" s="1"/>
  <c r="V25" i="3" l="1"/>
  <c r="O6" i="3"/>
  <c r="G6" i="3" s="1"/>
  <c r="K6" i="3" s="1"/>
  <c r="L6" i="3" s="1"/>
  <c r="N6" i="3" s="1"/>
  <c r="S6" i="3" s="1"/>
  <c r="O7" i="3"/>
  <c r="H7" i="3" s="1"/>
  <c r="O5" i="3"/>
  <c r="G5" i="3" s="1"/>
  <c r="K5" i="3" s="1"/>
  <c r="L5" i="3" s="1"/>
  <c r="N5" i="3" s="1"/>
  <c r="S5" i="3" s="1"/>
  <c r="G8" i="3"/>
  <c r="G7" i="3" l="1"/>
  <c r="K7" i="3" s="1"/>
  <c r="L7" i="3" s="1"/>
  <c r="N7" i="3" s="1"/>
  <c r="S7" i="3" s="1"/>
  <c r="T7" i="3" s="1"/>
  <c r="T6" i="3"/>
  <c r="K8" i="3"/>
  <c r="L8" i="3" s="1"/>
  <c r="N8" i="3" s="1"/>
  <c r="H6" i="3"/>
  <c r="S8" i="3" l="1"/>
  <c r="T8" i="3" s="1"/>
  <c r="P6" i="3"/>
  <c r="P8" i="3"/>
  <c r="U8" i="3" s="1"/>
  <c r="P7" i="3"/>
  <c r="U7" i="3" s="1"/>
  <c r="T12" i="3"/>
  <c r="P12" i="3"/>
  <c r="U12" i="3"/>
  <c r="V12" i="3" s="1"/>
  <c r="U6" i="3" l="1"/>
  <c r="AF6" i="3" s="1"/>
  <c r="P5" i="3"/>
  <c r="U5" i="3" s="1"/>
  <c r="T5" i="3"/>
  <c r="AF5" i="3" l="1"/>
  <c r="V5" i="3"/>
</calcChain>
</file>

<file path=xl/comments1.xml><?xml version="1.0" encoding="utf-8"?>
<comments xmlns="http://schemas.openxmlformats.org/spreadsheetml/2006/main">
  <authors>
    <author>Автор</author>
  </authors>
  <commentList>
    <comment ref="E35" authorId="0" shapeId="0">
      <text>
        <r>
          <rPr>
            <b/>
            <sz val="9"/>
            <color indexed="81"/>
            <rFont val="Tahoma"/>
            <family val="2"/>
            <charset val="204"/>
          </rPr>
          <t>101,103 с 1.01.2023 запуск 139, 140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  <charset val="204"/>
          </rPr>
          <t>с 20 марта</t>
        </r>
      </text>
    </comment>
  </commentList>
</comments>
</file>

<file path=xl/sharedStrings.xml><?xml version="1.0" encoding="utf-8"?>
<sst xmlns="http://schemas.openxmlformats.org/spreadsheetml/2006/main" count="219" uniqueCount="128">
  <si>
    <t>Время на обмен самосвалов</t>
  </si>
  <si>
    <t>Наименование выполняемых работ</t>
  </si>
  <si>
    <t>Плечо перевозок, км.</t>
  </si>
  <si>
    <t>Высота подъема, м</t>
  </si>
  <si>
    <t>Средняя техническая скорость движения, км/ч</t>
  </si>
  <si>
    <t>плотность горной массы</t>
  </si>
  <si>
    <t>Объем горной массы загруж.в кузов, Va</t>
  </si>
  <si>
    <t>Насыпная емкость кузова с "шапкой" Vцел</t>
  </si>
  <si>
    <t>Насыпная емкость кузова в "целике" Vнас</t>
  </si>
  <si>
    <t>Расчетное количество ковшей</t>
  </si>
  <si>
    <t>грузоподъемность, т (qа)</t>
  </si>
  <si>
    <t>Время на транспортировку (время рейса) карьер 1 - склад, отвал №1</t>
  </si>
  <si>
    <t>Фактическая продолж.цикла ТЦ</t>
  </si>
  <si>
    <t>Фактич. кол-во погруз.циклов, Nц</t>
  </si>
  <si>
    <t>время погрузки</t>
  </si>
  <si>
    <t>Количество эффективных рейсов в час карьер 1 - склад, отвал №1</t>
  </si>
  <si>
    <t>t на разгрузку</t>
  </si>
  <si>
    <t>Время эффективного цикла карьер 1 - склад, отвал №1</t>
  </si>
  <si>
    <t xml:space="preserve">Количество рейсов в час </t>
  </si>
  <si>
    <t>Производ-ть автосамосвала карьер 1 - склад, отвал №1</t>
  </si>
  <si>
    <t>срвз по а/с</t>
  </si>
  <si>
    <r>
      <t>Объем перевозок, м</t>
    </r>
    <r>
      <rPr>
        <vertAlign val="superscript"/>
        <sz val="12"/>
        <rFont val="Times New Roman"/>
        <family val="1"/>
        <charset val="204"/>
      </rPr>
      <t>3</t>
    </r>
  </si>
  <si>
    <t>Объем перевозок, тонн</t>
  </si>
  <si>
    <t>Геометр.вместимость ковша</t>
  </si>
  <si>
    <t>Коэф. Разрыхления в ковше</t>
  </si>
  <si>
    <t>Коэф. Экскавации</t>
  </si>
  <si>
    <t>Поправочный коэффициент (от высоты забоя)</t>
  </si>
  <si>
    <t>Коэф. Наполнения ковша</t>
  </si>
  <si>
    <t xml:space="preserve">Вывоз горной массы </t>
  </si>
  <si>
    <t>в т.ч.  вскрыша рыхлая</t>
  </si>
  <si>
    <t>скала</t>
  </si>
  <si>
    <t>руда</t>
  </si>
  <si>
    <t>в т.ч.  внустрискладские хоз. работы</t>
  </si>
  <si>
    <t>экскаваторы 1250</t>
  </si>
  <si>
    <t>Среднее расстояние</t>
  </si>
  <si>
    <t xml:space="preserve">Экскаватор EX 2600 </t>
  </si>
  <si>
    <t>Экскаватор РС 3000</t>
  </si>
  <si>
    <t>1 склад</t>
  </si>
  <si>
    <t>ПРС</t>
  </si>
  <si>
    <t>CAT 992G 401</t>
  </si>
  <si>
    <t>Экскаватор PС 2000</t>
  </si>
  <si>
    <t>№ п/п</t>
  </si>
  <si>
    <t>Наименование  (марка, тип)</t>
  </si>
  <si>
    <t>Индивидуальный №</t>
  </si>
  <si>
    <t xml:space="preserve">Подразделение </t>
  </si>
  <si>
    <t>Плановая продолжительность работы оборудования, час</t>
  </si>
  <si>
    <t>КТГ, предлагаемый вариант</t>
  </si>
  <si>
    <t>Загрузка А/С</t>
  </si>
  <si>
    <t>КТГ, бюджет</t>
  </si>
  <si>
    <t>Загрузка А/С, %</t>
  </si>
  <si>
    <t>Загрузка А/С, тн (90,3 тн - принятая загрузка в ПЧБ)</t>
  </si>
  <si>
    <t>1 квартал</t>
  </si>
  <si>
    <t>2 квартал</t>
  </si>
  <si>
    <t>3 квартал</t>
  </si>
  <si>
    <t>4 квартал</t>
  </si>
  <si>
    <t>Всего за год</t>
  </si>
  <si>
    <t>1</t>
  </si>
  <si>
    <t>Автосамосвал CAT 777D</t>
  </si>
  <si>
    <t>№ 101</t>
  </si>
  <si>
    <t>ОГР</t>
  </si>
  <si>
    <t>2</t>
  </si>
  <si>
    <t>№ 103</t>
  </si>
  <si>
    <t>3</t>
  </si>
  <si>
    <t xml:space="preserve">№ 105 </t>
  </si>
  <si>
    <t>4</t>
  </si>
  <si>
    <t>№ 106</t>
  </si>
  <si>
    <t>5</t>
  </si>
  <si>
    <t>№ 107</t>
  </si>
  <si>
    <t>6</t>
  </si>
  <si>
    <t>№ 108</t>
  </si>
  <si>
    <t>7</t>
  </si>
  <si>
    <t>№ 109</t>
  </si>
  <si>
    <t>8</t>
  </si>
  <si>
    <t>Автосамосвал CAT 777F</t>
  </si>
  <si>
    <t>№ 110</t>
  </si>
  <si>
    <t>ИТОГО, Автосамосвал CAT 777</t>
  </si>
  <si>
    <t>9</t>
  </si>
  <si>
    <t xml:space="preserve">Автосамосвал КOMATSU HD 785-5 </t>
  </si>
  <si>
    <t>№ 115</t>
  </si>
  <si>
    <t>10</t>
  </si>
  <si>
    <t>№ 116</t>
  </si>
  <si>
    <t>№ 117</t>
  </si>
  <si>
    <t>№ 118</t>
  </si>
  <si>
    <t>11</t>
  </si>
  <si>
    <t>Автосамосвал КOMATSU HD 785-7</t>
  </si>
  <si>
    <t>№ 119</t>
  </si>
  <si>
    <t>12</t>
  </si>
  <si>
    <t>№ 120</t>
  </si>
  <si>
    <t>13</t>
  </si>
  <si>
    <t>№ 124</t>
  </si>
  <si>
    <t>14</t>
  </si>
  <si>
    <t>№ 125</t>
  </si>
  <si>
    <t>15</t>
  </si>
  <si>
    <t>№ 126</t>
  </si>
  <si>
    <t>16</t>
  </si>
  <si>
    <t>№ 127</t>
  </si>
  <si>
    <t>17</t>
  </si>
  <si>
    <t>№ 128</t>
  </si>
  <si>
    <t>18</t>
  </si>
  <si>
    <t>№ 129</t>
  </si>
  <si>
    <t>19</t>
  </si>
  <si>
    <t>№ 130</t>
  </si>
  <si>
    <t>20</t>
  </si>
  <si>
    <t>№ 131</t>
  </si>
  <si>
    <t>21</t>
  </si>
  <si>
    <t>№ 132</t>
  </si>
  <si>
    <t>22</t>
  </si>
  <si>
    <t>№ 133</t>
  </si>
  <si>
    <t>23</t>
  </si>
  <si>
    <t>№ 134</t>
  </si>
  <si>
    <t>24</t>
  </si>
  <si>
    <t>№ 135</t>
  </si>
  <si>
    <t>25</t>
  </si>
  <si>
    <t>№ 136</t>
  </si>
  <si>
    <t>26</t>
  </si>
  <si>
    <t>№ 137</t>
  </si>
  <si>
    <t>27</t>
  </si>
  <si>
    <t>№ 138</t>
  </si>
  <si>
    <t>28</t>
  </si>
  <si>
    <t>№ 139</t>
  </si>
  <si>
    <t>29</t>
  </si>
  <si>
    <t>№ 140</t>
  </si>
  <si>
    <t>30</t>
  </si>
  <si>
    <t>№ 141</t>
  </si>
  <si>
    <t>31</t>
  </si>
  <si>
    <t>№ 142</t>
  </si>
  <si>
    <t>ИТОГО, Автосамосвал КOMATSU HD 785</t>
  </si>
  <si>
    <t>ИТОГО, А/С по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</si>
</sst>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0"/>
      <name val="Arial Narrow"/>
      <family val="2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b/>
      <sz val="10"/>
      <name val="Arial"/>
      <family val="2"/>
      <charset val="204"/>
    </font>
    <font>
      <sz val="12"/>
      <name val="Arial Cyr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name val="Arial"/>
      <family val="2"/>
      <charset val="204"/>
    </font>
    <font>
      <b/>
      <sz val="12"/>
      <color rgb="FFFF0000"/>
      <name val="Times New Roman"/>
      <family val="1"/>
      <charset val="204"/>
    </font>
    <font>
      <b/>
      <sz val="9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1" fillId="0" borderId="0"/>
    <xf numFmtId="0" fontId="8" fillId="0" borderId="0"/>
  </cellStyleXfs>
  <cellXfs count="190">
    <xf numFmtId="0" fontId="0" fillId="0" borderId="0" xfId="0"/>
    <xf numFmtId="0" fontId="2" fillId="2" borderId="9" xfId="1" applyFont="1" applyFill="1" applyBorder="1" applyAlignment="1">
      <alignment horizontal="center" vertical="center" wrapText="1"/>
    </xf>
    <xf numFmtId="0" fontId="0" fillId="0" borderId="1" xfId="0" applyBorder="1"/>
    <xf numFmtId="0" fontId="2" fillId="2" borderId="20" xfId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7" xfId="1" applyFont="1" applyFill="1" applyBorder="1"/>
    <xf numFmtId="2" fontId="3" fillId="0" borderId="8" xfId="1" applyNumberFormat="1" applyFont="1" applyFill="1" applyBorder="1" applyAlignment="1">
      <alignment horizontal="center"/>
    </xf>
    <xf numFmtId="165" fontId="3" fillId="0" borderId="14" xfId="1" applyNumberFormat="1" applyFont="1" applyFill="1" applyBorder="1" applyAlignment="1">
      <alignment horizontal="center"/>
    </xf>
    <xf numFmtId="2" fontId="3" fillId="0" borderId="14" xfId="1" applyNumberFormat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/>
    </xf>
    <xf numFmtId="2" fontId="3" fillId="0" borderId="18" xfId="1" applyNumberFormat="1" applyFont="1" applyFill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Fill="1" applyBorder="1"/>
    <xf numFmtId="2" fontId="3" fillId="3" borderId="36" xfId="1" applyNumberFormat="1" applyFont="1" applyFill="1" applyBorder="1" applyAlignment="1">
      <alignment horizontal="center"/>
    </xf>
    <xf numFmtId="2" fontId="3" fillId="0" borderId="36" xfId="1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center"/>
    </xf>
    <xf numFmtId="2" fontId="3" fillId="5" borderId="7" xfId="1" applyNumberFormat="1" applyFont="1" applyFill="1" applyBorder="1" applyAlignment="1">
      <alignment horizontal="center"/>
    </xf>
    <xf numFmtId="2" fontId="6" fillId="5" borderId="35" xfId="1" applyNumberFormat="1" applyFont="1" applyFill="1" applyBorder="1" applyAlignment="1">
      <alignment horizontal="center"/>
    </xf>
    <xf numFmtId="2" fontId="3" fillId="5" borderId="35" xfId="1" applyNumberFormat="1" applyFont="1" applyFill="1" applyBorder="1" applyAlignment="1">
      <alignment horizontal="center"/>
    </xf>
    <xf numFmtId="0" fontId="0" fillId="5" borderId="0" xfId="0" applyFill="1"/>
    <xf numFmtId="2" fontId="3" fillId="5" borderId="36" xfId="1" applyNumberFormat="1" applyFont="1" applyFill="1" applyBorder="1" applyAlignment="1">
      <alignment horizontal="center"/>
    </xf>
    <xf numFmtId="2" fontId="3" fillId="5" borderId="8" xfId="1" applyNumberFormat="1" applyFont="1" applyFill="1" applyBorder="1" applyAlignment="1">
      <alignment horizontal="center"/>
    </xf>
    <xf numFmtId="164" fontId="3" fillId="5" borderId="37" xfId="1" applyNumberFormat="1" applyFont="1" applyFill="1" applyBorder="1" applyAlignment="1">
      <alignment horizontal="center"/>
    </xf>
    <xf numFmtId="164" fontId="3" fillId="5" borderId="2" xfId="1" applyNumberFormat="1" applyFont="1" applyFill="1" applyBorder="1" applyAlignment="1">
      <alignment horizontal="center"/>
    </xf>
    <xf numFmtId="0" fontId="0" fillId="5" borderId="1" xfId="0" applyFill="1" applyBorder="1"/>
    <xf numFmtId="0" fontId="2" fillId="5" borderId="1" xfId="1" applyFont="1" applyFill="1" applyBorder="1" applyAlignment="1">
      <alignment horizontal="center" vertical="center" wrapText="1"/>
    </xf>
    <xf numFmtId="2" fontId="0" fillId="5" borderId="1" xfId="0" applyNumberFormat="1" applyFill="1" applyBorder="1"/>
    <xf numFmtId="164" fontId="9" fillId="5" borderId="1" xfId="3" applyNumberFormat="1" applyFont="1" applyFill="1" applyBorder="1" applyAlignment="1" applyProtection="1">
      <alignment horizontal="center" vertical="center"/>
      <protection hidden="1"/>
    </xf>
    <xf numFmtId="2" fontId="3" fillId="5" borderId="15" xfId="1" applyNumberFormat="1" applyFont="1" applyFill="1" applyBorder="1" applyAlignment="1">
      <alignment horizontal="center"/>
    </xf>
    <xf numFmtId="2" fontId="3" fillId="5" borderId="6" xfId="1" applyNumberFormat="1" applyFont="1" applyFill="1" applyBorder="1" applyAlignment="1">
      <alignment horizontal="center"/>
    </xf>
    <xf numFmtId="0" fontId="10" fillId="7" borderId="4" xfId="5" applyFont="1" applyFill="1" applyBorder="1" applyAlignment="1">
      <alignment horizontal="center" vertical="center" wrapText="1"/>
    </xf>
    <xf numFmtId="0" fontId="10" fillId="7" borderId="28" xfId="5" applyFont="1" applyFill="1" applyBorder="1" applyAlignment="1">
      <alignment horizontal="center" vertical="center" wrapText="1"/>
    </xf>
    <xf numFmtId="0" fontId="14" fillId="6" borderId="27" xfId="5" applyFont="1" applyFill="1" applyBorder="1" applyAlignment="1">
      <alignment horizontal="center" vertical="center" wrapText="1"/>
    </xf>
    <xf numFmtId="0" fontId="14" fillId="6" borderId="4" xfId="5" applyFont="1" applyFill="1" applyBorder="1" applyAlignment="1">
      <alignment horizontal="center" vertical="center" wrapText="1"/>
    </xf>
    <xf numFmtId="0" fontId="14" fillId="6" borderId="28" xfId="5" applyFont="1" applyFill="1" applyBorder="1" applyAlignment="1">
      <alignment horizontal="center" vertical="center" wrapText="1"/>
    </xf>
    <xf numFmtId="0" fontId="14" fillId="5" borderId="47" xfId="5" applyFont="1" applyFill="1" applyBorder="1" applyAlignment="1">
      <alignment horizontal="center" vertical="center" wrapText="1"/>
    </xf>
    <xf numFmtId="0" fontId="14" fillId="5" borderId="24" xfId="5" applyFont="1" applyFill="1" applyBorder="1" applyAlignment="1">
      <alignment horizontal="center" vertical="center" wrapText="1"/>
    </xf>
    <xf numFmtId="0" fontId="14" fillId="5" borderId="25" xfId="5" applyFont="1" applyFill="1" applyBorder="1" applyAlignment="1">
      <alignment horizontal="center" vertical="center" wrapText="1"/>
    </xf>
    <xf numFmtId="49" fontId="2" fillId="0" borderId="2" xfId="4" applyNumberFormat="1" applyFont="1" applyBorder="1" applyAlignment="1">
      <alignment horizontal="left" vertical="center" wrapText="1" shrinkToFit="1"/>
    </xf>
    <xf numFmtId="0" fontId="2" fillId="6" borderId="1" xfId="4" applyFont="1" applyFill="1" applyBorder="1" applyAlignment="1">
      <alignment horizontal="left" vertical="center" wrapText="1"/>
    </xf>
    <xf numFmtId="0" fontId="2" fillId="0" borderId="1" xfId="4" applyFont="1" applyBorder="1" applyAlignment="1">
      <alignment horizontal="center" vertical="center" wrapText="1"/>
    </xf>
    <xf numFmtId="0" fontId="2" fillId="0" borderId="42" xfId="4" applyFont="1" applyBorder="1" applyAlignment="1">
      <alignment horizontal="center" vertical="center" wrapText="1"/>
    </xf>
    <xf numFmtId="1" fontId="2" fillId="6" borderId="42" xfId="4" applyNumberFormat="1" applyFont="1" applyFill="1" applyBorder="1" applyAlignment="1">
      <alignment horizontal="center" vertical="center" wrapText="1"/>
    </xf>
    <xf numFmtId="1" fontId="2" fillId="0" borderId="42" xfId="4" applyNumberFormat="1" applyFont="1" applyBorder="1" applyAlignment="1">
      <alignment horizontal="center" vertical="center" wrapText="1"/>
    </xf>
    <xf numFmtId="1" fontId="2" fillId="8" borderId="42" xfId="4" applyNumberFormat="1" applyFont="1" applyFill="1" applyBorder="1" applyAlignment="1">
      <alignment horizontal="center" vertical="center" wrapText="1"/>
    </xf>
    <xf numFmtId="2" fontId="2" fillId="0" borderId="36" xfId="4" applyNumberFormat="1" applyFont="1" applyBorder="1" applyAlignment="1">
      <alignment horizontal="center" vertical="center"/>
    </xf>
    <xf numFmtId="2" fontId="2" fillId="0" borderId="40" xfId="4" applyNumberFormat="1" applyFont="1" applyBorder="1" applyAlignment="1">
      <alignment horizontal="center" vertical="center"/>
    </xf>
    <xf numFmtId="1" fontId="2" fillId="0" borderId="41" xfId="4" applyNumberFormat="1" applyFont="1" applyBorder="1" applyAlignment="1">
      <alignment horizontal="center" vertical="center"/>
    </xf>
    <xf numFmtId="1" fontId="2" fillId="0" borderId="1" xfId="4" applyNumberFormat="1" applyFont="1" applyBorder="1" applyAlignment="1">
      <alignment horizontal="center" vertical="center"/>
    </xf>
    <xf numFmtId="1" fontId="2" fillId="0" borderId="6" xfId="4" applyNumberFormat="1" applyFont="1" applyBorder="1" applyAlignment="1">
      <alignment horizontal="center" vertical="center"/>
    </xf>
    <xf numFmtId="164" fontId="6" fillId="0" borderId="41" xfId="4" applyNumberFormat="1" applyFont="1" applyBorder="1" applyAlignment="1">
      <alignment horizontal="center" vertical="center"/>
    </xf>
    <xf numFmtId="0" fontId="2" fillId="0" borderId="1" xfId="4" applyFont="1" applyFill="1" applyBorder="1" applyAlignment="1">
      <alignment horizontal="left" vertical="center" wrapText="1"/>
    </xf>
    <xf numFmtId="2" fontId="5" fillId="9" borderId="36" xfId="6" applyNumberFormat="1" applyFont="1" applyFill="1" applyBorder="1" applyAlignment="1">
      <alignment horizontal="center" vertical="center" wrapText="1"/>
    </xf>
    <xf numFmtId="2" fontId="5" fillId="9" borderId="41" xfId="6" applyNumberFormat="1" applyFont="1" applyFill="1" applyBorder="1" applyAlignment="1">
      <alignment horizontal="center" vertical="center" wrapText="1"/>
    </xf>
    <xf numFmtId="2" fontId="5" fillId="9" borderId="1" xfId="6" applyNumberFormat="1" applyFont="1" applyFill="1" applyBorder="1" applyAlignment="1">
      <alignment horizontal="center" vertical="center" wrapText="1"/>
    </xf>
    <xf numFmtId="2" fontId="5" fillId="9" borderId="42" xfId="6" applyNumberFormat="1" applyFont="1" applyFill="1" applyBorder="1" applyAlignment="1">
      <alignment horizontal="center" vertical="center" wrapText="1"/>
    </xf>
    <xf numFmtId="1" fontId="5" fillId="9" borderId="41" xfId="6" applyNumberFormat="1" applyFont="1" applyFill="1" applyBorder="1" applyAlignment="1">
      <alignment horizontal="center" vertical="center" wrapText="1"/>
    </xf>
    <xf numFmtId="1" fontId="5" fillId="9" borderId="1" xfId="6" applyNumberFormat="1" applyFont="1" applyFill="1" applyBorder="1" applyAlignment="1">
      <alignment horizontal="center" vertical="center" wrapText="1"/>
    </xf>
    <xf numFmtId="1" fontId="5" fillId="9" borderId="6" xfId="6" applyNumberFormat="1" applyFont="1" applyFill="1" applyBorder="1" applyAlignment="1">
      <alignment horizontal="center" vertical="center" wrapText="1"/>
    </xf>
    <xf numFmtId="1" fontId="15" fillId="9" borderId="41" xfId="6" applyNumberFormat="1" applyFont="1" applyFill="1" applyBorder="1" applyAlignment="1">
      <alignment horizontal="center" vertical="center" wrapText="1"/>
    </xf>
    <xf numFmtId="1" fontId="15" fillId="9" borderId="1" xfId="6" applyNumberFormat="1" applyFont="1" applyFill="1" applyBorder="1" applyAlignment="1">
      <alignment horizontal="center" vertical="center" wrapText="1"/>
    </xf>
    <xf numFmtId="1" fontId="15" fillId="9" borderId="6" xfId="6" applyNumberFormat="1" applyFont="1" applyFill="1" applyBorder="1" applyAlignment="1">
      <alignment horizontal="center" vertical="center" wrapText="1"/>
    </xf>
    <xf numFmtId="0" fontId="2" fillId="5" borderId="1" xfId="4" applyFont="1" applyFill="1" applyBorder="1" applyAlignment="1">
      <alignment horizontal="left" vertical="center" wrapText="1"/>
    </xf>
    <xf numFmtId="2" fontId="2" fillId="0" borderId="41" xfId="4" applyNumberFormat="1" applyFont="1" applyBorder="1" applyAlignment="1">
      <alignment horizontal="center" vertical="center"/>
    </xf>
    <xf numFmtId="2" fontId="2" fillId="0" borderId="1" xfId="4" applyNumberFormat="1" applyFont="1" applyBorder="1" applyAlignment="1">
      <alignment horizontal="center" vertical="center"/>
    </xf>
    <xf numFmtId="2" fontId="2" fillId="0" borderId="42" xfId="4" applyNumberFormat="1" applyFont="1" applyBorder="1" applyAlignment="1">
      <alignment horizontal="center" vertical="center"/>
    </xf>
    <xf numFmtId="49" fontId="2" fillId="4" borderId="2" xfId="4" applyNumberFormat="1" applyFont="1" applyFill="1" applyBorder="1" applyAlignment="1">
      <alignment horizontal="left" vertical="center" wrapText="1" shrinkToFit="1"/>
    </xf>
    <xf numFmtId="0" fontId="2" fillId="4" borderId="1" xfId="4" applyFont="1" applyFill="1" applyBorder="1" applyAlignment="1">
      <alignment horizontal="left" vertical="center" wrapText="1"/>
    </xf>
    <xf numFmtId="0" fontId="2" fillId="4" borderId="1" xfId="4" applyFont="1" applyFill="1" applyBorder="1" applyAlignment="1">
      <alignment horizontal="center" vertical="center" wrapText="1"/>
    </xf>
    <xf numFmtId="0" fontId="2" fillId="4" borderId="42" xfId="4" applyFont="1" applyFill="1" applyBorder="1" applyAlignment="1">
      <alignment horizontal="center" vertical="center" wrapText="1"/>
    </xf>
    <xf numFmtId="1" fontId="2" fillId="4" borderId="42" xfId="4" applyNumberFormat="1" applyFont="1" applyFill="1" applyBorder="1" applyAlignment="1">
      <alignment horizontal="center" vertical="center" wrapText="1"/>
    </xf>
    <xf numFmtId="1" fontId="6" fillId="0" borderId="42" xfId="4" applyNumberFormat="1" applyFont="1" applyBorder="1" applyAlignment="1">
      <alignment horizontal="center" vertical="center" wrapText="1"/>
    </xf>
    <xf numFmtId="0" fontId="2" fillId="3" borderId="1" xfId="4" applyFont="1" applyFill="1" applyBorder="1" applyAlignment="1">
      <alignment horizontal="left" vertical="center" wrapText="1"/>
    </xf>
    <xf numFmtId="1" fontId="2" fillId="6" borderId="41" xfId="4" applyNumberFormat="1" applyFont="1" applyFill="1" applyBorder="1" applyAlignment="1">
      <alignment horizontal="center" vertical="center"/>
    </xf>
    <xf numFmtId="164" fontId="6" fillId="6" borderId="41" xfId="4" applyNumberFormat="1" applyFont="1" applyFill="1" applyBorder="1" applyAlignment="1">
      <alignment horizontal="center" vertical="center"/>
    </xf>
    <xf numFmtId="1" fontId="2" fillId="6" borderId="1" xfId="4" applyNumberFormat="1" applyFont="1" applyFill="1" applyBorder="1" applyAlignment="1">
      <alignment horizontal="center" vertical="center"/>
    </xf>
    <xf numFmtId="1" fontId="2" fillId="6" borderId="6" xfId="4" applyNumberFormat="1" applyFont="1" applyFill="1" applyBorder="1" applyAlignment="1">
      <alignment horizontal="center" vertical="center"/>
    </xf>
    <xf numFmtId="0" fontId="2" fillId="10" borderId="1" xfId="4" applyFont="1" applyFill="1" applyBorder="1" applyAlignment="1">
      <alignment horizontal="center" vertical="center" wrapText="1"/>
    </xf>
    <xf numFmtId="0" fontId="6" fillId="3" borderId="1" xfId="4" applyFont="1" applyFill="1" applyBorder="1" applyAlignment="1">
      <alignment horizontal="left" vertical="center" wrapText="1"/>
    </xf>
    <xf numFmtId="0" fontId="6" fillId="10" borderId="1" xfId="4" applyFont="1" applyFill="1" applyBorder="1" applyAlignment="1">
      <alignment horizontal="center" vertical="center" wrapText="1"/>
    </xf>
    <xf numFmtId="0" fontId="6" fillId="0" borderId="42" xfId="4" applyFont="1" applyBorder="1" applyAlignment="1">
      <alignment horizontal="center" vertical="center" wrapText="1"/>
    </xf>
    <xf numFmtId="1" fontId="6" fillId="3" borderId="42" xfId="4" applyNumberFormat="1" applyFont="1" applyFill="1" applyBorder="1" applyAlignment="1">
      <alignment horizontal="center" vertical="center" wrapText="1"/>
    </xf>
    <xf numFmtId="1" fontId="6" fillId="8" borderId="42" xfId="4" applyNumberFormat="1" applyFont="1" applyFill="1" applyBorder="1" applyAlignment="1">
      <alignment horizontal="center" vertical="center" wrapText="1"/>
    </xf>
    <xf numFmtId="2" fontId="6" fillId="0" borderId="36" xfId="4" applyNumberFormat="1" applyFont="1" applyBorder="1" applyAlignment="1">
      <alignment horizontal="center" vertical="center"/>
    </xf>
    <xf numFmtId="2" fontId="6" fillId="0" borderId="41" xfId="4" applyNumberFormat="1" applyFont="1" applyBorder="1" applyAlignment="1">
      <alignment horizontal="center" vertical="center"/>
    </xf>
    <xf numFmtId="2" fontId="6" fillId="0" borderId="1" xfId="4" applyNumberFormat="1" applyFont="1" applyBorder="1" applyAlignment="1">
      <alignment horizontal="center" vertical="center"/>
    </xf>
    <xf numFmtId="2" fontId="6" fillId="0" borderId="42" xfId="4" applyNumberFormat="1" applyFont="1" applyBorder="1" applyAlignment="1">
      <alignment horizontal="center" vertical="center"/>
    </xf>
    <xf numFmtId="1" fontId="6" fillId="6" borderId="42" xfId="4" applyNumberFormat="1" applyFont="1" applyFill="1" applyBorder="1" applyAlignment="1">
      <alignment horizontal="center" vertical="center" wrapText="1"/>
    </xf>
    <xf numFmtId="49" fontId="2" fillId="0" borderId="3" xfId="4" applyNumberFormat="1" applyFont="1" applyBorder="1" applyAlignment="1">
      <alignment horizontal="left" vertical="center" wrapText="1" shrinkToFit="1"/>
    </xf>
    <xf numFmtId="0" fontId="6" fillId="3" borderId="4" xfId="4" applyFont="1" applyFill="1" applyBorder="1" applyAlignment="1">
      <alignment horizontal="left" vertical="center" wrapText="1"/>
    </xf>
    <xf numFmtId="0" fontId="6" fillId="10" borderId="4" xfId="4" applyFont="1" applyFill="1" applyBorder="1" applyAlignment="1">
      <alignment horizontal="center" vertical="center" wrapText="1"/>
    </xf>
    <xf numFmtId="0" fontId="6" fillId="0" borderId="28" xfId="4" applyFont="1" applyBorder="1" applyAlignment="1">
      <alignment horizontal="center" vertical="center" wrapText="1"/>
    </xf>
    <xf numFmtId="1" fontId="6" fillId="5" borderId="28" xfId="4" applyNumberFormat="1" applyFont="1" applyFill="1" applyBorder="1" applyAlignment="1">
      <alignment horizontal="center" vertical="center" wrapText="1"/>
    </xf>
    <xf numFmtId="1" fontId="6" fillId="0" borderId="28" xfId="4" applyNumberFormat="1" applyFont="1" applyBorder="1" applyAlignment="1">
      <alignment horizontal="center" vertical="center" wrapText="1"/>
    </xf>
    <xf numFmtId="1" fontId="6" fillId="8" borderId="28" xfId="4" applyNumberFormat="1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0" xfId="0" applyBorder="1"/>
    <xf numFmtId="2" fontId="5" fillId="9" borderId="6" xfId="6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10" borderId="18" xfId="4" applyFont="1" applyFill="1" applyBorder="1" applyAlignment="1">
      <alignment horizontal="left" vertical="center" wrapText="1"/>
    </xf>
    <xf numFmtId="0" fontId="0" fillId="0" borderId="18" xfId="0" applyBorder="1"/>
    <xf numFmtId="2" fontId="15" fillId="8" borderId="8" xfId="4" applyNumberFormat="1" applyFont="1" applyFill="1" applyBorder="1" applyAlignment="1">
      <alignment vertical="center" wrapText="1" shrinkToFit="1"/>
    </xf>
    <xf numFmtId="2" fontId="15" fillId="8" borderId="38" xfId="4" applyNumberFormat="1" applyFont="1" applyFill="1" applyBorder="1" applyAlignment="1">
      <alignment vertical="center" wrapText="1" shrinkToFit="1"/>
    </xf>
    <xf numFmtId="2" fontId="15" fillId="8" borderId="14" xfId="4" applyNumberFormat="1" applyFont="1" applyFill="1" applyBorder="1" applyAlignment="1">
      <alignment vertical="center" wrapText="1" shrinkToFit="1"/>
    </xf>
    <xf numFmtId="2" fontId="15" fillId="8" borderId="39" xfId="4" applyNumberFormat="1" applyFont="1" applyFill="1" applyBorder="1" applyAlignment="1">
      <alignment vertical="center" wrapText="1" shrinkToFit="1"/>
    </xf>
    <xf numFmtId="2" fontId="15" fillId="8" borderId="15" xfId="4" applyNumberFormat="1" applyFont="1" applyFill="1" applyBorder="1" applyAlignment="1">
      <alignment vertical="center" wrapText="1" shrinkToFit="1"/>
    </xf>
    <xf numFmtId="0" fontId="2" fillId="0" borderId="35" xfId="1" applyFont="1" applyFill="1" applyBorder="1"/>
    <xf numFmtId="0" fontId="7" fillId="0" borderId="36" xfId="2" applyFont="1" applyFill="1" applyBorder="1"/>
    <xf numFmtId="0" fontId="0" fillId="0" borderId="0" xfId="0" applyFill="1"/>
    <xf numFmtId="0" fontId="3" fillId="0" borderId="13" xfId="1" applyFont="1" applyFill="1" applyBorder="1" applyAlignment="1">
      <alignment horizontal="center" vertical="center" wrapText="1"/>
    </xf>
    <xf numFmtId="0" fontId="3" fillId="0" borderId="14" xfId="1" applyFont="1" applyFill="1" applyBorder="1" applyAlignment="1">
      <alignment vertical="center" wrapText="1"/>
    </xf>
    <xf numFmtId="0" fontId="3" fillId="0" borderId="15" xfId="1" applyFont="1" applyFill="1" applyBorder="1" applyAlignment="1">
      <alignment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24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21" xfId="1" applyFont="1" applyFill="1" applyBorder="1" applyAlignment="1">
      <alignment horizontal="center" vertical="center" wrapText="1"/>
    </xf>
    <xf numFmtId="164" fontId="3" fillId="0" borderId="15" xfId="1" applyNumberFormat="1" applyFont="1" applyFill="1" applyBorder="1" applyAlignment="1">
      <alignment horizontal="center"/>
    </xf>
    <xf numFmtId="2" fontId="3" fillId="0" borderId="7" xfId="1" applyNumberFormat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164" fontId="3" fillId="0" borderId="6" xfId="1" applyNumberFormat="1" applyFont="1" applyFill="1" applyBorder="1" applyAlignment="1">
      <alignment horizontal="center"/>
    </xf>
    <xf numFmtId="2" fontId="3" fillId="0" borderId="35" xfId="1" applyNumberFormat="1" applyFont="1" applyFill="1" applyBorder="1" applyAlignment="1">
      <alignment horizontal="center"/>
    </xf>
    <xf numFmtId="0" fontId="3" fillId="0" borderId="17" xfId="1" applyFont="1" applyFill="1" applyBorder="1" applyAlignment="1">
      <alignment horizontal="center" vertical="center" wrapText="1"/>
    </xf>
    <xf numFmtId="0" fontId="3" fillId="0" borderId="26" xfId="1" applyFont="1" applyFill="1" applyBorder="1" applyAlignment="1">
      <alignment horizontal="center" vertical="center" wrapText="1"/>
    </xf>
    <xf numFmtId="0" fontId="2" fillId="0" borderId="27" xfId="1" applyFont="1" applyFill="1" applyBorder="1" applyAlignment="1">
      <alignment horizontal="center" vertical="center" wrapText="1"/>
    </xf>
    <xf numFmtId="0" fontId="2" fillId="0" borderId="28" xfId="1" applyFont="1" applyFill="1" applyBorder="1" applyAlignment="1">
      <alignment horizontal="center" vertical="center" wrapText="1"/>
    </xf>
    <xf numFmtId="3" fontId="2" fillId="0" borderId="38" xfId="1" applyNumberFormat="1" applyFont="1" applyFill="1" applyBorder="1" applyAlignment="1">
      <alignment horizontal="center"/>
    </xf>
    <xf numFmtId="1" fontId="2" fillId="0" borderId="39" xfId="1" applyNumberFormat="1" applyFont="1" applyFill="1" applyBorder="1" applyAlignment="1">
      <alignment horizontal="center"/>
    </xf>
    <xf numFmtId="2" fontId="3" fillId="0" borderId="40" xfId="1" applyNumberFormat="1" applyFont="1" applyFill="1" applyBorder="1" applyAlignment="1">
      <alignment horizontal="center"/>
    </xf>
    <xf numFmtId="3" fontId="2" fillId="0" borderId="41" xfId="1" applyNumberFormat="1" applyFont="1" applyFill="1" applyBorder="1" applyAlignment="1">
      <alignment horizontal="center"/>
    </xf>
    <xf numFmtId="3" fontId="2" fillId="0" borderId="42" xfId="1" applyNumberFormat="1" applyFont="1" applyFill="1" applyBorder="1" applyAlignment="1">
      <alignment horizontal="center"/>
    </xf>
    <xf numFmtId="2" fontId="3" fillId="0" borderId="42" xfId="1" applyNumberFormat="1" applyFont="1" applyFill="1" applyBorder="1" applyAlignment="1">
      <alignment horizontal="center"/>
    </xf>
    <xf numFmtId="1" fontId="2" fillId="0" borderId="14" xfId="1" applyNumberFormat="1" applyFont="1" applyFill="1" applyBorder="1" applyAlignment="1">
      <alignment horizontal="center"/>
    </xf>
    <xf numFmtId="165" fontId="3" fillId="0" borderId="40" xfId="1" applyNumberFormat="1" applyFont="1" applyFill="1" applyBorder="1" applyAlignment="1">
      <alignment horizontal="center"/>
    </xf>
    <xf numFmtId="0" fontId="13" fillId="0" borderId="17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31" xfId="0" applyFont="1" applyFill="1" applyBorder="1" applyAlignment="1">
      <alignment horizontal="center" vertical="center" wrapText="1"/>
    </xf>
    <xf numFmtId="0" fontId="12" fillId="5" borderId="29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0" fillId="7" borderId="12" xfId="4" applyFont="1" applyFill="1" applyBorder="1" applyAlignment="1">
      <alignment horizontal="center" vertical="center" wrapText="1"/>
    </xf>
    <xf numFmtId="0" fontId="10" fillId="7" borderId="33" xfId="4" applyFont="1" applyFill="1" applyBorder="1" applyAlignment="1">
      <alignment horizontal="center" vertical="center" wrapText="1"/>
    </xf>
    <xf numFmtId="0" fontId="10" fillId="7" borderId="23" xfId="4" applyFont="1" applyFill="1" applyBorder="1" applyAlignment="1">
      <alignment horizontal="center" vertical="center" wrapText="1"/>
    </xf>
    <xf numFmtId="0" fontId="10" fillId="7" borderId="14" xfId="4" applyFont="1" applyFill="1" applyBorder="1" applyAlignment="1">
      <alignment horizontal="left" vertical="center" wrapText="1"/>
    </xf>
    <xf numFmtId="0" fontId="10" fillId="7" borderId="1" xfId="4" applyFont="1" applyFill="1" applyBorder="1" applyAlignment="1">
      <alignment horizontal="left" vertical="center" wrapText="1"/>
    </xf>
    <xf numFmtId="0" fontId="10" fillId="7" borderId="4" xfId="4" applyFont="1" applyFill="1" applyBorder="1" applyAlignment="1">
      <alignment horizontal="left" vertical="center" wrapText="1"/>
    </xf>
    <xf numFmtId="0" fontId="10" fillId="7" borderId="14" xfId="4" applyFont="1" applyFill="1" applyBorder="1" applyAlignment="1">
      <alignment horizontal="center" vertical="center" wrapText="1"/>
    </xf>
    <xf numFmtId="0" fontId="10" fillId="7" borderId="1" xfId="4" applyFont="1" applyFill="1" applyBorder="1" applyAlignment="1">
      <alignment horizontal="center" vertical="center" wrapText="1"/>
    </xf>
    <xf numFmtId="0" fontId="10" fillId="7" borderId="4" xfId="4" applyFont="1" applyFill="1" applyBorder="1" applyAlignment="1">
      <alignment horizontal="center" vertical="center" wrapText="1"/>
    </xf>
    <xf numFmtId="0" fontId="10" fillId="7" borderId="39" xfId="4" applyFont="1" applyFill="1" applyBorder="1" applyAlignment="1">
      <alignment horizontal="center" vertical="center" wrapText="1"/>
    </xf>
    <xf numFmtId="0" fontId="10" fillId="7" borderId="42" xfId="4" applyFont="1" applyFill="1" applyBorder="1" applyAlignment="1">
      <alignment horizontal="center" vertical="center" wrapText="1"/>
    </xf>
    <xf numFmtId="0" fontId="10" fillId="7" borderId="28" xfId="4" applyFont="1" applyFill="1" applyBorder="1" applyAlignment="1">
      <alignment horizontal="center" vertical="center" wrapText="1"/>
    </xf>
    <xf numFmtId="0" fontId="10" fillId="7" borderId="43" xfId="5" applyFont="1" applyFill="1" applyBorder="1" applyAlignment="1">
      <alignment horizontal="center" vertical="center" wrapText="1"/>
    </xf>
    <xf numFmtId="0" fontId="10" fillId="7" borderId="17" xfId="5" applyFont="1" applyFill="1" applyBorder="1" applyAlignment="1">
      <alignment horizontal="center" vertical="center" wrapText="1"/>
    </xf>
    <xf numFmtId="0" fontId="10" fillId="7" borderId="34" xfId="5" applyFont="1" applyFill="1" applyBorder="1" applyAlignment="1">
      <alignment horizontal="center" vertical="center" wrapText="1"/>
    </xf>
    <xf numFmtId="0" fontId="10" fillId="7" borderId="0" xfId="5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31" xfId="0" applyFont="1" applyFill="1" applyBorder="1" applyAlignment="1">
      <alignment horizontal="center" vertical="center" wrapText="1"/>
    </xf>
    <xf numFmtId="0" fontId="12" fillId="6" borderId="2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3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3" fillId="5" borderId="12" xfId="1" applyFont="1" applyFill="1" applyBorder="1" applyAlignment="1">
      <alignment horizontal="center" vertical="center" wrapText="1"/>
    </xf>
    <xf numFmtId="0" fontId="3" fillId="5" borderId="23" xfId="1" applyFont="1" applyFill="1" applyBorder="1" applyAlignment="1">
      <alignment horizontal="center" vertical="center" wrapText="1"/>
    </xf>
    <xf numFmtId="0" fontId="3" fillId="0" borderId="13" xfId="1" applyFont="1" applyFill="1" applyBorder="1" applyAlignment="1">
      <alignment horizontal="center" vertical="center" wrapText="1"/>
    </xf>
    <xf numFmtId="0" fontId="3" fillId="0" borderId="24" xfId="1" applyFont="1" applyFill="1" applyBorder="1" applyAlignment="1">
      <alignment horizontal="center" vertical="center" wrapText="1"/>
    </xf>
    <xf numFmtId="0" fontId="3" fillId="5" borderId="16" xfId="1" applyFont="1" applyFill="1" applyBorder="1" applyAlignment="1">
      <alignment horizontal="center" vertical="center" wrapText="1"/>
    </xf>
    <xf numFmtId="0" fontId="3" fillId="5" borderId="25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2" fillId="0" borderId="19" xfId="1" applyFont="1" applyFill="1" applyBorder="1" applyAlignment="1">
      <alignment horizontal="center" vertical="center" wrapText="1"/>
    </xf>
    <xf numFmtId="0" fontId="3" fillId="5" borderId="10" xfId="1" applyFont="1" applyFill="1" applyBorder="1" applyAlignment="1">
      <alignment horizontal="center" vertical="center" wrapText="1"/>
    </xf>
    <xf numFmtId="0" fontId="3" fillId="5" borderId="21" xfId="1" applyFont="1" applyFill="1" applyBorder="1" applyAlignment="1">
      <alignment horizontal="center" vertical="center" wrapText="1"/>
    </xf>
    <xf numFmtId="0" fontId="3" fillId="5" borderId="9" xfId="1" applyFont="1" applyFill="1" applyBorder="1" applyAlignment="1">
      <alignment horizontal="center" vertical="center" wrapText="1"/>
    </xf>
    <xf numFmtId="0" fontId="3" fillId="5" borderId="20" xfId="1" applyFont="1" applyFill="1" applyBorder="1" applyAlignment="1">
      <alignment horizontal="center" vertical="center" wrapText="1"/>
    </xf>
    <xf numFmtId="0" fontId="3" fillId="5" borderId="11" xfId="1" applyFont="1" applyFill="1" applyBorder="1" applyAlignment="1">
      <alignment horizontal="center" vertical="center" wrapText="1"/>
    </xf>
    <xf numFmtId="0" fontId="3" fillId="5" borderId="22" xfId="1" applyFont="1" applyFill="1" applyBorder="1" applyAlignment="1">
      <alignment horizontal="center" vertical="center" wrapText="1"/>
    </xf>
    <xf numFmtId="0" fontId="3" fillId="0" borderId="17" xfId="1" applyFont="1" applyFill="1" applyBorder="1" applyAlignment="1">
      <alignment horizontal="center" vertical="center" wrapText="1"/>
    </xf>
    <xf numFmtId="0" fontId="3" fillId="0" borderId="26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7">
    <cellStyle name="Обычный" xfId="0" builtinId="0"/>
    <cellStyle name="Обычный 10" xfId="6"/>
    <cellStyle name="Обычный 2 10" xfId="4"/>
    <cellStyle name="Обычный_2" xfId="3"/>
    <cellStyle name="Обычный_Книга1" xfId="1"/>
    <cellStyle name="Обычный_Расчет оборудования окончательный" xfId="2"/>
    <cellStyle name="Обычный_Фонд рабочего времени оборудования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mukhamedovaAS/Documents/2/&#1055;&#1086;&#1076;&#1074;&#1077;&#1076;&#1077;&#1085;&#1080;&#1077;%20&#1080;&#1090;&#1086;&#1075;&#1086;&#1074;/2023/4%20&#1072;&#1087;&#1088;&#1077;&#1083;&#1100;/&#1056;&#1072;&#1089;&#1095;&#1077;&#1090;%20&#1080;%20&#1087;&#1083;&#1072;&#1085;%20&#1088;&#1072;&#1073;&#1086;&#1090;&#1099;_&#1072;&#1087;&#1088;&#1077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ица скоростей"/>
      <sheetName val="Ремонты январь 2019"/>
      <sheetName val="Свод по монтажу"/>
      <sheetName val="Свод для ПТО расстояния из ПЧБ"/>
      <sheetName val="1.1. КПП из ПЧБ"/>
      <sheetName val="1.5. ППР из ПЧБ"/>
      <sheetName val="ПП и ГП 2019 КГП из ПЧБ"/>
      <sheetName val="1.2.1. ГР ОГР (3)"/>
      <sheetName val="Свод по монтажу №2"/>
      <sheetName val="ФРВ (транспорт, гт)_"/>
      <sheetName val="ФРВ (транспорт, гт)"/>
      <sheetName val="Графики ТО 2017 год"/>
      <sheetName val="Расчет тех. производительности"/>
      <sheetName val="погрузка"/>
      <sheetName val="Лист1"/>
      <sheetName val="расчет самосвалов"/>
      <sheetName val="ПО-6"/>
      <sheetName val="План работы ГТО_печать"/>
      <sheetName val="КИО"/>
      <sheetName val="Удельный расход топлива"/>
      <sheetName val="Вспомогательная техника"/>
      <sheetName val="Сводная_печа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1">
          <cell r="A11">
            <v>201</v>
          </cell>
          <cell r="B11" t="str">
            <v>Экскаватор PС 1250 201</v>
          </cell>
          <cell r="F11">
            <v>0</v>
          </cell>
        </row>
        <row r="12">
          <cell r="A12">
            <v>201</v>
          </cell>
          <cell r="B12" t="str">
            <v>в т.ч.  вскрыша рыхлая</v>
          </cell>
        </row>
        <row r="13">
          <cell r="A13">
            <v>201</v>
          </cell>
          <cell r="B13" t="str">
            <v>скала</v>
          </cell>
        </row>
        <row r="14">
          <cell r="A14">
            <v>201</v>
          </cell>
          <cell r="B14" t="str">
            <v>руда</v>
          </cell>
        </row>
        <row r="15">
          <cell r="A15">
            <v>201</v>
          </cell>
          <cell r="B15" t="str">
            <v>хоз. работы</v>
          </cell>
        </row>
        <row r="16">
          <cell r="A16">
            <v>201</v>
          </cell>
        </row>
        <row r="17">
          <cell r="A17">
            <v>205</v>
          </cell>
          <cell r="B17" t="str">
            <v>Экскаватор PС 1250 205</v>
          </cell>
          <cell r="F17">
            <v>115884.4655699841</v>
          </cell>
        </row>
        <row r="18">
          <cell r="A18">
            <v>205</v>
          </cell>
          <cell r="B18" t="str">
            <v>в т.ч.  вскрыша рыхлая</v>
          </cell>
        </row>
        <row r="19">
          <cell r="A19">
            <v>205</v>
          </cell>
          <cell r="B19" t="str">
            <v>скала</v>
          </cell>
          <cell r="F19">
            <v>88500</v>
          </cell>
        </row>
        <row r="20">
          <cell r="A20">
            <v>205</v>
          </cell>
          <cell r="B20" t="str">
            <v>руда</v>
          </cell>
          <cell r="F20">
            <v>27384.465569984099</v>
          </cell>
        </row>
        <row r="21">
          <cell r="A21">
            <v>205</v>
          </cell>
          <cell r="B21" t="str">
            <v>хоз. работы</v>
          </cell>
        </row>
        <row r="22">
          <cell r="A22">
            <v>206</v>
          </cell>
          <cell r="B22" t="str">
            <v>Экскаватор PС 1250 206</v>
          </cell>
          <cell r="F22">
            <v>116384.46556998411</v>
          </cell>
        </row>
        <row r="23">
          <cell r="A23">
            <v>206</v>
          </cell>
          <cell r="B23" t="str">
            <v>в т.ч.  вскрыша рыхлая</v>
          </cell>
        </row>
        <row r="24">
          <cell r="A24">
            <v>206</v>
          </cell>
          <cell r="B24" t="str">
            <v>скала</v>
          </cell>
          <cell r="F24">
            <v>61615.534430015905</v>
          </cell>
        </row>
        <row r="25">
          <cell r="A25">
            <v>206</v>
          </cell>
          <cell r="B25" t="str">
            <v>руда</v>
          </cell>
          <cell r="F25">
            <v>54768.931139968197</v>
          </cell>
        </row>
        <row r="26">
          <cell r="A26">
            <v>206</v>
          </cell>
          <cell r="B26" t="str">
            <v>хоз. работы</v>
          </cell>
        </row>
        <row r="27">
          <cell r="A27">
            <v>207</v>
          </cell>
          <cell r="B27" t="str">
            <v>Экскаватор PС 1250 207</v>
          </cell>
          <cell r="F27">
            <v>0</v>
          </cell>
        </row>
        <row r="28">
          <cell r="A28">
            <v>207</v>
          </cell>
          <cell r="B28" t="str">
            <v>в т.ч.  вскрыша рыхлая</v>
          </cell>
        </row>
        <row r="29">
          <cell r="A29">
            <v>207</v>
          </cell>
          <cell r="B29" t="str">
            <v>скала</v>
          </cell>
        </row>
        <row r="30">
          <cell r="A30">
            <v>207</v>
          </cell>
          <cell r="B30" t="str">
            <v>руда</v>
          </cell>
        </row>
        <row r="31">
          <cell r="A31">
            <v>207</v>
          </cell>
          <cell r="B31" t="str">
            <v>хоз. работы</v>
          </cell>
        </row>
        <row r="32">
          <cell r="A32">
            <v>5</v>
          </cell>
          <cell r="B32" t="str">
            <v>Экскаватор PС 1250 5</v>
          </cell>
          <cell r="F32">
            <v>0</v>
          </cell>
        </row>
        <row r="33">
          <cell r="A33">
            <v>5</v>
          </cell>
          <cell r="B33" t="str">
            <v>в т.ч.  вскрыша рыхлая</v>
          </cell>
        </row>
        <row r="34">
          <cell r="A34">
            <v>5</v>
          </cell>
          <cell r="B34" t="str">
            <v>скала</v>
          </cell>
        </row>
        <row r="35">
          <cell r="A35">
            <v>5</v>
          </cell>
          <cell r="B35" t="str">
            <v>руда</v>
          </cell>
        </row>
        <row r="36">
          <cell r="A36">
            <v>5</v>
          </cell>
          <cell r="B36" t="str">
            <v>хоз. работы</v>
          </cell>
        </row>
        <row r="37">
          <cell r="A37" t="str">
            <v>001</v>
          </cell>
          <cell r="B37" t="str">
            <v>Экскаватор EX 2600 001</v>
          </cell>
          <cell r="F37">
            <v>278500</v>
          </cell>
        </row>
        <row r="38">
          <cell r="A38" t="str">
            <v>001</v>
          </cell>
          <cell r="B38" t="str">
            <v>в т.ч.  вскрыша рыхлая</v>
          </cell>
          <cell r="F38">
            <v>116000</v>
          </cell>
        </row>
        <row r="39">
          <cell r="A39" t="str">
            <v>001</v>
          </cell>
          <cell r="B39" t="str">
            <v>скала</v>
          </cell>
          <cell r="F39">
            <v>162500</v>
          </cell>
        </row>
        <row r="40">
          <cell r="A40" t="str">
            <v>001</v>
          </cell>
          <cell r="B40" t="str">
            <v>руда</v>
          </cell>
        </row>
        <row r="41">
          <cell r="A41" t="str">
            <v>001</v>
          </cell>
          <cell r="B41" t="str">
            <v>хоз. работы</v>
          </cell>
        </row>
        <row r="42">
          <cell r="A42" t="str">
            <v>002</v>
          </cell>
          <cell r="B42" t="str">
            <v>Экскаватор ЭШ 10/70 002</v>
          </cell>
          <cell r="F42">
            <v>84000</v>
          </cell>
        </row>
        <row r="43">
          <cell r="A43" t="str">
            <v>002</v>
          </cell>
          <cell r="B43" t="str">
            <v>в т.ч.  вскрыша рыхлая</v>
          </cell>
          <cell r="F43">
            <v>84000</v>
          </cell>
        </row>
        <row r="44">
          <cell r="A44" t="str">
            <v>002</v>
          </cell>
          <cell r="B44" t="str">
            <v>скала</v>
          </cell>
        </row>
        <row r="45">
          <cell r="A45" t="str">
            <v>002</v>
          </cell>
          <cell r="B45" t="str">
            <v>руда</v>
          </cell>
        </row>
        <row r="46">
          <cell r="A46" t="str">
            <v>002</v>
          </cell>
          <cell r="B46" t="str">
            <v>хоз. работы</v>
          </cell>
          <cell r="F46">
            <v>69000</v>
          </cell>
        </row>
        <row r="47">
          <cell r="A47" t="str">
            <v>003</v>
          </cell>
          <cell r="B47" t="str">
            <v>Экскаватор EX 2600 003</v>
          </cell>
          <cell r="F47">
            <v>249000</v>
          </cell>
        </row>
        <row r="48">
          <cell r="A48" t="str">
            <v>003</v>
          </cell>
          <cell r="B48" t="str">
            <v>в т.ч.  вскрыша рыхлая</v>
          </cell>
          <cell r="F48">
            <v>105000</v>
          </cell>
        </row>
        <row r="49">
          <cell r="A49" t="str">
            <v>003</v>
          </cell>
          <cell r="B49" t="str">
            <v>скала</v>
          </cell>
          <cell r="F49">
            <v>144000</v>
          </cell>
        </row>
        <row r="50">
          <cell r="A50" t="str">
            <v>003</v>
          </cell>
          <cell r="B50" t="str">
            <v>руда</v>
          </cell>
        </row>
        <row r="51">
          <cell r="A51" t="str">
            <v>003</v>
          </cell>
          <cell r="B51" t="str">
            <v>хоз. работы</v>
          </cell>
        </row>
        <row r="52">
          <cell r="A52">
            <v>203</v>
          </cell>
          <cell r="B52" t="str">
            <v>Экскаватор РС 3000 203</v>
          </cell>
          <cell r="F52">
            <v>245697.54440864199</v>
          </cell>
        </row>
        <row r="53">
          <cell r="A53">
            <v>203</v>
          </cell>
          <cell r="B53" t="str">
            <v>в т.ч.  вскрыша рыхлая</v>
          </cell>
          <cell r="F53">
            <v>72197.544408641988</v>
          </cell>
        </row>
        <row r="54">
          <cell r="A54">
            <v>203</v>
          </cell>
          <cell r="B54" t="str">
            <v>скала</v>
          </cell>
          <cell r="F54">
            <v>173500</v>
          </cell>
        </row>
        <row r="55">
          <cell r="A55">
            <v>203</v>
          </cell>
          <cell r="B55" t="str">
            <v>руда</v>
          </cell>
        </row>
        <row r="56">
          <cell r="A56">
            <v>203</v>
          </cell>
          <cell r="B56" t="str">
            <v>хоз. работы</v>
          </cell>
        </row>
        <row r="57">
          <cell r="A57">
            <v>204</v>
          </cell>
          <cell r="B57" t="str">
            <v>Экскаватор РС 3000 204</v>
          </cell>
          <cell r="F57">
            <v>0</v>
          </cell>
        </row>
        <row r="58">
          <cell r="A58">
            <v>204</v>
          </cell>
          <cell r="B58" t="str">
            <v>в т.ч.  Вскрыша рыхлая</v>
          </cell>
        </row>
        <row r="59">
          <cell r="A59">
            <v>204</v>
          </cell>
          <cell r="B59" t="str">
            <v>скала</v>
          </cell>
        </row>
        <row r="60">
          <cell r="A60">
            <v>204</v>
          </cell>
          <cell r="B60" t="str">
            <v>руда</v>
          </cell>
        </row>
        <row r="61">
          <cell r="A61">
            <v>204</v>
          </cell>
          <cell r="B61" t="str">
            <v>хоз. работы</v>
          </cell>
        </row>
        <row r="62">
          <cell r="A62">
            <v>202</v>
          </cell>
          <cell r="B62" t="str">
            <v>Экскаватор PС 2000 202</v>
          </cell>
          <cell r="F62">
            <v>192981.774719307</v>
          </cell>
        </row>
        <row r="63">
          <cell r="A63">
            <v>202</v>
          </cell>
          <cell r="B63" t="str">
            <v>в т.ч.  вскрыша рыхлая</v>
          </cell>
        </row>
        <row r="64">
          <cell r="A64">
            <v>202</v>
          </cell>
          <cell r="B64" t="str">
            <v>скала</v>
          </cell>
          <cell r="F64">
            <v>192981.774719307</v>
          </cell>
        </row>
        <row r="65">
          <cell r="A65">
            <v>202</v>
          </cell>
          <cell r="B65" t="str">
            <v>руда</v>
          </cell>
        </row>
        <row r="66">
          <cell r="A66">
            <v>202</v>
          </cell>
          <cell r="B66" t="str">
            <v>хоз. работы</v>
          </cell>
        </row>
        <row r="67">
          <cell r="A67">
            <v>401</v>
          </cell>
          <cell r="B67" t="str">
            <v>CAT 992G 401</v>
          </cell>
          <cell r="F67">
            <v>115684.4655699841</v>
          </cell>
        </row>
        <row r="68">
          <cell r="A68">
            <v>401</v>
          </cell>
          <cell r="B68" t="str">
            <v>в т.ч.  вскрыша рыхлая</v>
          </cell>
        </row>
        <row r="69">
          <cell r="A69">
            <v>401</v>
          </cell>
          <cell r="B69" t="str">
            <v>скала</v>
          </cell>
          <cell r="F69">
            <v>115684.4655699841</v>
          </cell>
        </row>
        <row r="70">
          <cell r="A70">
            <v>401</v>
          </cell>
          <cell r="B70" t="str">
            <v>1 склад</v>
          </cell>
        </row>
        <row r="71">
          <cell r="A71">
            <v>401</v>
          </cell>
          <cell r="B71" t="str">
            <v>ПРС</v>
          </cell>
        </row>
      </sheetData>
      <sheetData sheetId="14" refreshError="1"/>
      <sheetData sheetId="15">
        <row r="7">
          <cell r="A7">
            <v>1</v>
          </cell>
          <cell r="C7" t="str">
            <v>Экскаватор PС 1250 201</v>
          </cell>
        </row>
        <row r="12">
          <cell r="A12">
            <v>201</v>
          </cell>
        </row>
        <row r="14">
          <cell r="A14">
            <v>2</v>
          </cell>
        </row>
        <row r="21">
          <cell r="A21">
            <v>3</v>
          </cell>
        </row>
        <row r="25">
          <cell r="A25">
            <v>206</v>
          </cell>
        </row>
        <row r="32">
          <cell r="A32">
            <v>4</v>
          </cell>
        </row>
        <row r="33">
          <cell r="A33">
            <v>207</v>
          </cell>
        </row>
        <row r="34">
          <cell r="A34">
            <v>207</v>
          </cell>
        </row>
        <row r="35">
          <cell r="A35">
            <v>207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0"/>
  <sheetViews>
    <sheetView zoomScaleNormal="100" workbookViewId="0">
      <selection activeCell="B9" sqref="B9"/>
    </sheetView>
  </sheetViews>
  <sheetFormatPr defaultRowHeight="15" x14ac:dyDescent="0.25"/>
  <cols>
    <col min="1" max="1" width="5.5703125" bestFit="1" customWidth="1"/>
    <col min="2" max="2" width="54.85546875" bestFit="1" customWidth="1"/>
    <col min="3" max="3" width="14.140625" customWidth="1"/>
    <col min="4" max="4" width="11.28515625" hidden="1" customWidth="1"/>
    <col min="5" max="8" width="10.140625" hidden="1" customWidth="1"/>
    <col min="9" max="9" width="12.5703125" hidden="1" customWidth="1"/>
    <col min="10" max="15" width="0" hidden="1" customWidth="1"/>
    <col min="20" max="20" width="9.140625" customWidth="1"/>
  </cols>
  <sheetData>
    <row r="1" spans="1:24" ht="15.75" customHeight="1" x14ac:dyDescent="0.25">
      <c r="A1" s="150" t="s">
        <v>41</v>
      </c>
      <c r="B1" s="153" t="s">
        <v>42</v>
      </c>
      <c r="C1" s="156" t="s">
        <v>43</v>
      </c>
      <c r="D1" s="159" t="s">
        <v>44</v>
      </c>
      <c r="E1" s="162" t="s">
        <v>45</v>
      </c>
      <c r="F1" s="163"/>
      <c r="G1" s="163"/>
      <c r="H1" s="163"/>
      <c r="I1" s="163"/>
      <c r="J1" s="166" t="s">
        <v>46</v>
      </c>
      <c r="K1" s="137" t="s">
        <v>47</v>
      </c>
      <c r="L1" s="137"/>
      <c r="M1" s="137"/>
      <c r="N1" s="137"/>
      <c r="O1" s="140" t="s">
        <v>48</v>
      </c>
      <c r="P1" s="143" t="s">
        <v>49</v>
      </c>
      <c r="Q1" s="137"/>
      <c r="R1" s="137"/>
      <c r="S1" s="144"/>
      <c r="T1" s="143" t="s">
        <v>50</v>
      </c>
      <c r="U1" s="137"/>
      <c r="V1" s="137"/>
      <c r="W1" s="144"/>
      <c r="X1">
        <v>90.3</v>
      </c>
    </row>
    <row r="2" spans="1:24" ht="15.75" customHeight="1" x14ac:dyDescent="0.25">
      <c r="A2" s="151"/>
      <c r="B2" s="154"/>
      <c r="C2" s="157"/>
      <c r="D2" s="160"/>
      <c r="E2" s="164"/>
      <c r="F2" s="165"/>
      <c r="G2" s="165"/>
      <c r="H2" s="165"/>
      <c r="I2" s="165"/>
      <c r="J2" s="167"/>
      <c r="K2" s="138"/>
      <c r="L2" s="138"/>
      <c r="M2" s="138"/>
      <c r="N2" s="138"/>
      <c r="O2" s="141"/>
      <c r="P2" s="145"/>
      <c r="Q2" s="138"/>
      <c r="R2" s="138"/>
      <c r="S2" s="146"/>
      <c r="T2" s="145"/>
      <c r="U2" s="138"/>
      <c r="V2" s="138"/>
      <c r="W2" s="146"/>
    </row>
    <row r="3" spans="1:24" ht="27" customHeight="1" thickBot="1" x14ac:dyDescent="0.3">
      <c r="A3" s="151"/>
      <c r="B3" s="154"/>
      <c r="C3" s="157"/>
      <c r="D3" s="160"/>
      <c r="E3" s="164"/>
      <c r="F3" s="165"/>
      <c r="G3" s="165"/>
      <c r="H3" s="165"/>
      <c r="I3" s="165"/>
      <c r="J3" s="167"/>
      <c r="K3" s="139"/>
      <c r="L3" s="139"/>
      <c r="M3" s="139"/>
      <c r="N3" s="139"/>
      <c r="O3" s="141"/>
      <c r="P3" s="147"/>
      <c r="Q3" s="148"/>
      <c r="R3" s="148"/>
      <c r="S3" s="149"/>
      <c r="T3" s="147"/>
      <c r="U3" s="148"/>
      <c r="V3" s="148"/>
      <c r="W3" s="149"/>
    </row>
    <row r="4" spans="1:24" ht="24.75" customHeight="1" thickBot="1" x14ac:dyDescent="0.3">
      <c r="A4" s="152"/>
      <c r="B4" s="155"/>
      <c r="C4" s="158"/>
      <c r="D4" s="161"/>
      <c r="E4" s="33" t="s">
        <v>51</v>
      </c>
      <c r="F4" s="33" t="s">
        <v>52</v>
      </c>
      <c r="G4" s="33" t="s">
        <v>53</v>
      </c>
      <c r="H4" s="33" t="s">
        <v>54</v>
      </c>
      <c r="I4" s="34" t="s">
        <v>55</v>
      </c>
      <c r="J4" s="168"/>
      <c r="K4" s="35" t="s">
        <v>51</v>
      </c>
      <c r="L4" s="36" t="s">
        <v>52</v>
      </c>
      <c r="M4" s="36" t="s">
        <v>53</v>
      </c>
      <c r="N4" s="37" t="s">
        <v>54</v>
      </c>
      <c r="O4" s="142"/>
      <c r="P4" s="38" t="s">
        <v>51</v>
      </c>
      <c r="Q4" s="39" t="s">
        <v>52</v>
      </c>
      <c r="R4" s="39" t="s">
        <v>53</v>
      </c>
      <c r="S4" s="40" t="s">
        <v>54</v>
      </c>
      <c r="T4" s="38" t="s">
        <v>51</v>
      </c>
      <c r="U4" s="39" t="s">
        <v>52</v>
      </c>
      <c r="V4" s="39" t="s">
        <v>53</v>
      </c>
      <c r="W4" s="40" t="s">
        <v>54</v>
      </c>
    </row>
    <row r="5" spans="1:24" ht="15.75" customHeight="1" x14ac:dyDescent="0.25">
      <c r="A5" s="41" t="s">
        <v>56</v>
      </c>
      <c r="B5" s="42" t="s">
        <v>57</v>
      </c>
      <c r="C5" s="43" t="s">
        <v>58</v>
      </c>
      <c r="D5" s="44" t="s">
        <v>59</v>
      </c>
      <c r="E5" s="45">
        <v>1508.4805000000001</v>
      </c>
      <c r="F5" s="46">
        <v>999.05925824175824</v>
      </c>
      <c r="G5" s="46">
        <v>1011.8951739130434</v>
      </c>
      <c r="H5" s="46">
        <v>1559.4541304347827</v>
      </c>
      <c r="I5" s="47">
        <v>5078.8890625895838</v>
      </c>
      <c r="J5" s="48"/>
      <c r="K5" s="49"/>
      <c r="L5" s="49"/>
      <c r="M5" s="49"/>
      <c r="N5" s="49"/>
      <c r="O5" s="48"/>
      <c r="P5" s="50">
        <v>100</v>
      </c>
      <c r="Q5" s="51">
        <v>100</v>
      </c>
      <c r="R5" s="51">
        <v>100</v>
      </c>
      <c r="S5" s="52">
        <v>100</v>
      </c>
      <c r="T5" s="53">
        <f>P5*$X$1/100</f>
        <v>90.3</v>
      </c>
      <c r="U5" s="53">
        <f t="shared" ref="U5:W38" si="0">Q5*$X$1/100</f>
        <v>90.3</v>
      </c>
      <c r="V5" s="53">
        <f t="shared" si="0"/>
        <v>90.3</v>
      </c>
      <c r="W5" s="53">
        <f t="shared" si="0"/>
        <v>90.3</v>
      </c>
    </row>
    <row r="6" spans="1:24" ht="15.75" customHeight="1" x14ac:dyDescent="0.25">
      <c r="A6" s="41" t="s">
        <v>60</v>
      </c>
      <c r="B6" s="42" t="s">
        <v>57</v>
      </c>
      <c r="C6" s="43" t="s">
        <v>61</v>
      </c>
      <c r="D6" s="44" t="s">
        <v>59</v>
      </c>
      <c r="E6" s="45">
        <v>30.019333333333332</v>
      </c>
      <c r="F6" s="46">
        <v>228.07215750915751</v>
      </c>
      <c r="G6" s="46">
        <v>1627.9582971014493</v>
      </c>
      <c r="H6" s="46">
        <v>1599.9460471014493</v>
      </c>
      <c r="I6" s="47">
        <v>3485.9958350453894</v>
      </c>
      <c r="J6" s="48"/>
      <c r="K6" s="49"/>
      <c r="L6" s="49"/>
      <c r="M6" s="49"/>
      <c r="N6" s="49"/>
      <c r="O6" s="48"/>
      <c r="P6" s="50">
        <v>100</v>
      </c>
      <c r="Q6" s="51">
        <v>100</v>
      </c>
      <c r="R6" s="51">
        <v>100</v>
      </c>
      <c r="S6" s="52">
        <v>100</v>
      </c>
      <c r="T6" s="53">
        <f t="shared" ref="T6:T38" si="1">P6*$X$1/100</f>
        <v>90.3</v>
      </c>
      <c r="U6" s="53">
        <f t="shared" si="0"/>
        <v>90.3</v>
      </c>
      <c r="V6" s="53">
        <f t="shared" si="0"/>
        <v>90.3</v>
      </c>
      <c r="W6" s="53">
        <f t="shared" si="0"/>
        <v>90.3</v>
      </c>
    </row>
    <row r="7" spans="1:24" ht="15.75" customHeight="1" x14ac:dyDescent="0.25">
      <c r="A7" s="41" t="s">
        <v>62</v>
      </c>
      <c r="B7" s="42" t="s">
        <v>57</v>
      </c>
      <c r="C7" s="43" t="s">
        <v>63</v>
      </c>
      <c r="D7" s="44" t="s">
        <v>59</v>
      </c>
      <c r="E7" s="46">
        <v>1573.7976666666668</v>
      </c>
      <c r="F7" s="46">
        <v>1621.9064835164836</v>
      </c>
      <c r="G7" s="46">
        <v>1603.662231884058</v>
      </c>
      <c r="H7" s="46">
        <v>1624.148463768116</v>
      </c>
      <c r="I7" s="47">
        <v>6423.5148458353242</v>
      </c>
      <c r="J7" s="48"/>
      <c r="K7" s="49"/>
      <c r="L7" s="49"/>
      <c r="M7" s="49"/>
      <c r="N7" s="49"/>
      <c r="O7" s="48"/>
      <c r="P7" s="50">
        <v>100</v>
      </c>
      <c r="Q7" s="51">
        <v>100</v>
      </c>
      <c r="R7" s="51">
        <v>100</v>
      </c>
      <c r="S7" s="52">
        <v>100</v>
      </c>
      <c r="T7" s="53">
        <f t="shared" si="1"/>
        <v>90.3</v>
      </c>
      <c r="U7" s="53">
        <f t="shared" si="0"/>
        <v>90.3</v>
      </c>
      <c r="V7" s="53">
        <f t="shared" si="0"/>
        <v>90.3</v>
      </c>
      <c r="W7" s="53">
        <f t="shared" si="0"/>
        <v>90.3</v>
      </c>
    </row>
    <row r="8" spans="1:24" ht="15.75" customHeight="1" x14ac:dyDescent="0.25">
      <c r="A8" s="41" t="s">
        <v>64</v>
      </c>
      <c r="B8" s="42" t="s">
        <v>57</v>
      </c>
      <c r="C8" s="43" t="s">
        <v>65</v>
      </c>
      <c r="D8" s="44" t="s">
        <v>59</v>
      </c>
      <c r="E8" s="46">
        <v>1583.7226666666668</v>
      </c>
      <c r="F8" s="46">
        <v>1607.8681282051282</v>
      </c>
      <c r="G8" s="46">
        <v>977.58692753623188</v>
      </c>
      <c r="H8" s="46">
        <v>957.69417028985504</v>
      </c>
      <c r="I8" s="47">
        <v>5126.8718926978818</v>
      </c>
      <c r="J8" s="48"/>
      <c r="K8" s="49"/>
      <c r="L8" s="49"/>
      <c r="M8" s="49"/>
      <c r="N8" s="49"/>
      <c r="O8" s="48"/>
      <c r="P8" s="50">
        <v>100</v>
      </c>
      <c r="Q8" s="51">
        <v>100</v>
      </c>
      <c r="R8" s="51">
        <v>100</v>
      </c>
      <c r="S8" s="52">
        <v>100</v>
      </c>
      <c r="T8" s="53">
        <f t="shared" si="1"/>
        <v>90.3</v>
      </c>
      <c r="U8" s="53">
        <f t="shared" si="0"/>
        <v>90.3</v>
      </c>
      <c r="V8" s="53">
        <f t="shared" si="0"/>
        <v>90.3</v>
      </c>
      <c r="W8" s="53">
        <f t="shared" si="0"/>
        <v>90.3</v>
      </c>
    </row>
    <row r="9" spans="1:24" ht="15.75" customHeight="1" x14ac:dyDescent="0.25">
      <c r="A9" s="41" t="s">
        <v>66</v>
      </c>
      <c r="B9" s="42" t="s">
        <v>57</v>
      </c>
      <c r="C9" s="43" t="s">
        <v>67</v>
      </c>
      <c r="D9" s="44" t="s">
        <v>59</v>
      </c>
      <c r="E9" s="46">
        <v>1583.7226666666668</v>
      </c>
      <c r="F9" s="46">
        <v>1647.6387179487181</v>
      </c>
      <c r="G9" s="46">
        <v>1588.984731884058</v>
      </c>
      <c r="H9" s="46">
        <v>1599.9460471014493</v>
      </c>
      <c r="I9" s="47">
        <v>6420.2921636008914</v>
      </c>
      <c r="J9" s="48"/>
      <c r="K9" s="49"/>
      <c r="L9" s="49"/>
      <c r="M9" s="49"/>
      <c r="N9" s="49"/>
      <c r="O9" s="48"/>
      <c r="P9" s="50">
        <v>100</v>
      </c>
      <c r="Q9" s="51">
        <v>100</v>
      </c>
      <c r="R9" s="51">
        <v>100</v>
      </c>
      <c r="S9" s="52">
        <v>100</v>
      </c>
      <c r="T9" s="53">
        <f t="shared" si="1"/>
        <v>90.3</v>
      </c>
      <c r="U9" s="53">
        <f t="shared" si="0"/>
        <v>90.3</v>
      </c>
      <c r="V9" s="53">
        <f t="shared" si="0"/>
        <v>90.3</v>
      </c>
      <c r="W9" s="53">
        <f t="shared" si="0"/>
        <v>90.3</v>
      </c>
    </row>
    <row r="10" spans="1:24" ht="15.75" customHeight="1" x14ac:dyDescent="0.25">
      <c r="A10" s="41" t="s">
        <v>68</v>
      </c>
      <c r="B10" s="42" t="s">
        <v>57</v>
      </c>
      <c r="C10" s="43" t="s">
        <v>69</v>
      </c>
      <c r="D10" s="44" t="s">
        <v>59</v>
      </c>
      <c r="E10" s="46">
        <v>1570.7413333333334</v>
      </c>
      <c r="F10" s="46">
        <v>1647.6387179487181</v>
      </c>
      <c r="G10" s="46">
        <v>1646.6331304347825</v>
      </c>
      <c r="H10" s="46">
        <v>1634.0479166666667</v>
      </c>
      <c r="I10" s="47">
        <v>6499.0610983835004</v>
      </c>
      <c r="J10" s="48"/>
      <c r="K10" s="49"/>
      <c r="L10" s="49"/>
      <c r="M10" s="49"/>
      <c r="N10" s="49"/>
      <c r="O10" s="48"/>
      <c r="P10" s="50">
        <v>100</v>
      </c>
      <c r="Q10" s="51">
        <v>100</v>
      </c>
      <c r="R10" s="51">
        <v>100</v>
      </c>
      <c r="S10" s="52">
        <v>100</v>
      </c>
      <c r="T10" s="53">
        <f t="shared" si="1"/>
        <v>90.3</v>
      </c>
      <c r="U10" s="53">
        <f t="shared" si="0"/>
        <v>90.3</v>
      </c>
      <c r="V10" s="53">
        <f t="shared" si="0"/>
        <v>90.3</v>
      </c>
      <c r="W10" s="53">
        <f t="shared" si="0"/>
        <v>90.3</v>
      </c>
    </row>
    <row r="11" spans="1:24" ht="15.75" customHeight="1" x14ac:dyDescent="0.25">
      <c r="A11" s="41" t="s">
        <v>70</v>
      </c>
      <c r="B11" s="42" t="s">
        <v>57</v>
      </c>
      <c r="C11" s="43" t="s">
        <v>71</v>
      </c>
      <c r="D11" s="44" t="s">
        <v>59</v>
      </c>
      <c r="E11" s="46">
        <v>1495.4623333333334</v>
      </c>
      <c r="F11" s="46">
        <v>1565.3653186813187</v>
      </c>
      <c r="G11" s="46">
        <v>1559.0520000000001</v>
      </c>
      <c r="H11" s="46">
        <v>689.40293478260867</v>
      </c>
      <c r="I11" s="47">
        <v>5309.2825867972606</v>
      </c>
      <c r="J11" s="48"/>
      <c r="K11" s="49"/>
      <c r="L11" s="49"/>
      <c r="M11" s="49"/>
      <c r="N11" s="49"/>
      <c r="O11" s="48"/>
      <c r="P11" s="50">
        <v>100</v>
      </c>
      <c r="Q11" s="51">
        <v>100</v>
      </c>
      <c r="R11" s="51">
        <v>100</v>
      </c>
      <c r="S11" s="52">
        <v>100</v>
      </c>
      <c r="T11" s="53">
        <f t="shared" si="1"/>
        <v>90.3</v>
      </c>
      <c r="U11" s="53">
        <f t="shared" si="0"/>
        <v>90.3</v>
      </c>
      <c r="V11" s="53">
        <f t="shared" si="0"/>
        <v>90.3</v>
      </c>
      <c r="W11" s="53">
        <f t="shared" si="0"/>
        <v>90.3</v>
      </c>
    </row>
    <row r="12" spans="1:24" ht="15.75" customHeight="1" x14ac:dyDescent="0.25">
      <c r="A12" s="41" t="s">
        <v>72</v>
      </c>
      <c r="B12" s="42" t="s">
        <v>73</v>
      </c>
      <c r="C12" s="43" t="s">
        <v>74</v>
      </c>
      <c r="D12" s="44" t="s">
        <v>59</v>
      </c>
      <c r="E12" s="46">
        <v>1583.6236666666666</v>
      </c>
      <c r="F12" s="46">
        <v>1641.565956043956</v>
      </c>
      <c r="G12" s="46">
        <v>1670.0376231884056</v>
      </c>
      <c r="H12" s="46">
        <v>1618.4123188405797</v>
      </c>
      <c r="I12" s="47">
        <v>6513.6395647396075</v>
      </c>
      <c r="J12" s="48"/>
      <c r="K12" s="49"/>
      <c r="L12" s="49"/>
      <c r="M12" s="49"/>
      <c r="N12" s="49"/>
      <c r="O12" s="48"/>
      <c r="P12" s="50">
        <v>100</v>
      </c>
      <c r="Q12" s="51">
        <v>100</v>
      </c>
      <c r="R12" s="51">
        <v>100</v>
      </c>
      <c r="S12" s="52">
        <v>100</v>
      </c>
      <c r="T12" s="53">
        <f t="shared" si="1"/>
        <v>90.3</v>
      </c>
      <c r="U12" s="53">
        <f t="shared" si="0"/>
        <v>90.3</v>
      </c>
      <c r="V12" s="53">
        <f t="shared" si="0"/>
        <v>90.3</v>
      </c>
      <c r="W12" s="53">
        <f t="shared" si="0"/>
        <v>90.3</v>
      </c>
    </row>
    <row r="13" spans="1:24" ht="15.75" x14ac:dyDescent="0.25">
      <c r="A13" s="41"/>
      <c r="B13" s="54" t="s">
        <v>75</v>
      </c>
      <c r="C13" s="43"/>
      <c r="D13" s="44"/>
      <c r="E13" s="46"/>
      <c r="F13" s="46"/>
      <c r="G13" s="46"/>
      <c r="H13" s="46"/>
      <c r="I13" s="47"/>
      <c r="J13" s="55">
        <v>0.81793090191343076</v>
      </c>
      <c r="K13" s="56">
        <v>0.91671267540832757</v>
      </c>
      <c r="L13" s="57">
        <v>0.77280418856505806</v>
      </c>
      <c r="M13" s="57">
        <v>0.81665731332703217</v>
      </c>
      <c r="N13" s="58">
        <v>0.80107908002520489</v>
      </c>
      <c r="O13" s="55">
        <v>0.84572801856828339</v>
      </c>
      <c r="P13" s="59"/>
      <c r="Q13" s="60"/>
      <c r="R13" s="60"/>
      <c r="S13" s="61"/>
      <c r="T13" s="62"/>
      <c r="U13" s="63"/>
      <c r="V13" s="63"/>
      <c r="W13" s="64"/>
    </row>
    <row r="14" spans="1:24" ht="31.5" customHeight="1" x14ac:dyDescent="0.25">
      <c r="A14" s="41" t="s">
        <v>76</v>
      </c>
      <c r="B14" s="65" t="s">
        <v>77</v>
      </c>
      <c r="C14" s="43" t="s">
        <v>78</v>
      </c>
      <c r="D14" s="44" t="s">
        <v>59</v>
      </c>
      <c r="E14" s="46">
        <v>1624.9650000000001</v>
      </c>
      <c r="F14" s="46">
        <v>1780.8607985347985</v>
      </c>
      <c r="G14" s="46">
        <v>1712.3535797101449</v>
      </c>
      <c r="H14" s="46">
        <v>1690.1595652173914</v>
      </c>
      <c r="I14" s="47">
        <v>6808.338943462335</v>
      </c>
      <c r="J14" s="48"/>
      <c r="K14" s="66"/>
      <c r="L14" s="67"/>
      <c r="M14" s="67"/>
      <c r="N14" s="68"/>
      <c r="O14" s="48"/>
      <c r="P14" s="50">
        <v>100</v>
      </c>
      <c r="Q14" s="51">
        <v>100</v>
      </c>
      <c r="R14" s="51">
        <v>100</v>
      </c>
      <c r="S14" s="52">
        <v>100</v>
      </c>
      <c r="T14" s="53">
        <f t="shared" si="1"/>
        <v>90.3</v>
      </c>
      <c r="U14" s="53">
        <f t="shared" si="0"/>
        <v>90.3</v>
      </c>
      <c r="V14" s="53">
        <f t="shared" si="0"/>
        <v>90.3</v>
      </c>
      <c r="W14" s="53">
        <f t="shared" si="0"/>
        <v>90.3</v>
      </c>
    </row>
    <row r="15" spans="1:24" ht="31.5" customHeight="1" x14ac:dyDescent="0.25">
      <c r="A15" s="41" t="s">
        <v>79</v>
      </c>
      <c r="B15" s="65" t="s">
        <v>77</v>
      </c>
      <c r="C15" s="43" t="s">
        <v>80</v>
      </c>
      <c r="D15" s="44" t="s">
        <v>59</v>
      </c>
      <c r="E15" s="46">
        <v>1632.6420000000001</v>
      </c>
      <c r="F15" s="46">
        <v>1719.422380952381</v>
      </c>
      <c r="G15" s="46">
        <v>1704.671036231884</v>
      </c>
      <c r="H15" s="46">
        <v>1686.7451014492754</v>
      </c>
      <c r="I15" s="47">
        <v>6743.4805186335407</v>
      </c>
      <c r="J15" s="48"/>
      <c r="K15" s="66"/>
      <c r="L15" s="67"/>
      <c r="M15" s="67"/>
      <c r="N15" s="68"/>
      <c r="O15" s="48"/>
      <c r="P15" s="50">
        <v>100</v>
      </c>
      <c r="Q15" s="51">
        <v>100</v>
      </c>
      <c r="R15" s="51">
        <v>100</v>
      </c>
      <c r="S15" s="52">
        <v>100</v>
      </c>
      <c r="T15" s="53">
        <f t="shared" si="1"/>
        <v>90.3</v>
      </c>
      <c r="U15" s="53">
        <f t="shared" si="0"/>
        <v>90.3</v>
      </c>
      <c r="V15" s="53">
        <f t="shared" si="0"/>
        <v>90.3</v>
      </c>
      <c r="W15" s="53">
        <f t="shared" si="0"/>
        <v>90.3</v>
      </c>
    </row>
    <row r="16" spans="1:24" ht="31.5" hidden="1" customHeight="1" x14ac:dyDescent="0.25">
      <c r="A16" s="69"/>
      <c r="B16" s="70" t="s">
        <v>77</v>
      </c>
      <c r="C16" s="71" t="s">
        <v>81</v>
      </c>
      <c r="D16" s="72" t="s">
        <v>59</v>
      </c>
      <c r="E16" s="73">
        <v>1603.64</v>
      </c>
      <c r="F16" s="74">
        <v>0</v>
      </c>
      <c r="G16" s="74">
        <v>0</v>
      </c>
      <c r="H16" s="74">
        <v>0</v>
      </c>
      <c r="I16" s="47">
        <v>1603.64</v>
      </c>
      <c r="J16" s="48"/>
      <c r="K16" s="66"/>
      <c r="L16" s="67"/>
      <c r="M16" s="67"/>
      <c r="N16" s="68"/>
      <c r="O16" s="48"/>
      <c r="P16" s="50"/>
      <c r="Q16" s="51"/>
      <c r="R16" s="51"/>
      <c r="S16" s="52"/>
      <c r="T16" s="53">
        <f t="shared" si="1"/>
        <v>0</v>
      </c>
      <c r="U16" s="53">
        <f t="shared" si="0"/>
        <v>0</v>
      </c>
      <c r="V16" s="53">
        <f t="shared" si="0"/>
        <v>0</v>
      </c>
      <c r="W16" s="53">
        <f t="shared" si="0"/>
        <v>0</v>
      </c>
    </row>
    <row r="17" spans="1:23" ht="31.5" hidden="1" customHeight="1" x14ac:dyDescent="0.25">
      <c r="A17" s="69"/>
      <c r="B17" s="70" t="s">
        <v>77</v>
      </c>
      <c r="C17" s="71" t="s">
        <v>82</v>
      </c>
      <c r="D17" s="72" t="s">
        <v>59</v>
      </c>
      <c r="E17" s="73">
        <v>1592.5509999999999</v>
      </c>
      <c r="F17" s="74">
        <v>0</v>
      </c>
      <c r="G17" s="74">
        <v>0</v>
      </c>
      <c r="H17" s="74">
        <v>0</v>
      </c>
      <c r="I17" s="47">
        <v>1592.5509999999999</v>
      </c>
      <c r="J17" s="48"/>
      <c r="K17" s="66"/>
      <c r="L17" s="67"/>
      <c r="M17" s="67"/>
      <c r="N17" s="68"/>
      <c r="O17" s="48"/>
      <c r="P17" s="50"/>
      <c r="Q17" s="51"/>
      <c r="R17" s="51"/>
      <c r="S17" s="52"/>
      <c r="T17" s="53">
        <f t="shared" si="1"/>
        <v>0</v>
      </c>
      <c r="U17" s="53">
        <f t="shared" si="0"/>
        <v>0</v>
      </c>
      <c r="V17" s="53">
        <f t="shared" si="0"/>
        <v>0</v>
      </c>
      <c r="W17" s="53">
        <f t="shared" si="0"/>
        <v>0</v>
      </c>
    </row>
    <row r="18" spans="1:23" ht="31.5" customHeight="1" x14ac:dyDescent="0.25">
      <c r="A18" s="41" t="s">
        <v>83</v>
      </c>
      <c r="B18" s="75" t="s">
        <v>84</v>
      </c>
      <c r="C18" s="43" t="s">
        <v>85</v>
      </c>
      <c r="D18" s="44" t="s">
        <v>59</v>
      </c>
      <c r="E18" s="46">
        <v>1665.9090000000001</v>
      </c>
      <c r="F18" s="46">
        <v>1707.4760219780219</v>
      </c>
      <c r="G18" s="46">
        <v>1723.4505869565219</v>
      </c>
      <c r="H18" s="46">
        <v>1695.2812608695654</v>
      </c>
      <c r="I18" s="47">
        <v>6792.1168698041092</v>
      </c>
      <c r="J18" s="48"/>
      <c r="K18" s="66"/>
      <c r="L18" s="67"/>
      <c r="M18" s="67"/>
      <c r="N18" s="68"/>
      <c r="O18" s="48"/>
      <c r="P18" s="76">
        <v>70</v>
      </c>
      <c r="Q18" s="76">
        <v>70</v>
      </c>
      <c r="R18" s="76">
        <v>70</v>
      </c>
      <c r="S18" s="76">
        <v>70</v>
      </c>
      <c r="T18" s="77">
        <f t="shared" si="1"/>
        <v>63.21</v>
      </c>
      <c r="U18" s="77">
        <f t="shared" si="0"/>
        <v>63.21</v>
      </c>
      <c r="V18" s="77">
        <f t="shared" si="0"/>
        <v>63.21</v>
      </c>
      <c r="W18" s="77">
        <f t="shared" si="0"/>
        <v>63.21</v>
      </c>
    </row>
    <row r="19" spans="1:23" ht="31.5" customHeight="1" x14ac:dyDescent="0.25">
      <c r="A19" s="41" t="s">
        <v>86</v>
      </c>
      <c r="B19" s="75" t="s">
        <v>84</v>
      </c>
      <c r="C19" s="43" t="s">
        <v>87</v>
      </c>
      <c r="D19" s="44" t="s">
        <v>59</v>
      </c>
      <c r="E19" s="46">
        <v>695.19499999999994</v>
      </c>
      <c r="F19" s="46">
        <v>1768.9144395604394</v>
      </c>
      <c r="G19" s="46">
        <v>1660.2830072463769</v>
      </c>
      <c r="H19" s="46">
        <v>1695.2812608695654</v>
      </c>
      <c r="I19" s="47">
        <v>5819.673707676382</v>
      </c>
      <c r="J19" s="48"/>
      <c r="K19" s="66"/>
      <c r="L19" s="67"/>
      <c r="M19" s="67"/>
      <c r="N19" s="68"/>
      <c r="O19" s="48"/>
      <c r="P19" s="50">
        <v>100</v>
      </c>
      <c r="Q19" s="51">
        <v>100</v>
      </c>
      <c r="R19" s="51">
        <v>100</v>
      </c>
      <c r="S19" s="52">
        <v>100</v>
      </c>
      <c r="T19" s="53">
        <f t="shared" si="1"/>
        <v>90.3</v>
      </c>
      <c r="U19" s="53">
        <f t="shared" si="0"/>
        <v>90.3</v>
      </c>
      <c r="V19" s="53">
        <f t="shared" si="0"/>
        <v>90.3</v>
      </c>
      <c r="W19" s="53">
        <f t="shared" si="0"/>
        <v>90.3</v>
      </c>
    </row>
    <row r="20" spans="1:23" ht="31.5" customHeight="1" x14ac:dyDescent="0.25">
      <c r="A20" s="41" t="s">
        <v>88</v>
      </c>
      <c r="B20" s="75" t="s">
        <v>84</v>
      </c>
      <c r="C20" s="43" t="s">
        <v>89</v>
      </c>
      <c r="D20" s="44" t="s">
        <v>59</v>
      </c>
      <c r="E20" s="46">
        <v>1647.143</v>
      </c>
      <c r="F20" s="46">
        <v>1707.4760219780219</v>
      </c>
      <c r="G20" s="46">
        <v>1723.4505869565219</v>
      </c>
      <c r="H20" s="46">
        <v>1695.2812608695654</v>
      </c>
      <c r="I20" s="47">
        <v>6773.3508698041096</v>
      </c>
      <c r="J20" s="48"/>
      <c r="K20" s="66"/>
      <c r="L20" s="67"/>
      <c r="M20" s="67"/>
      <c r="N20" s="68"/>
      <c r="O20" s="48"/>
      <c r="P20" s="76">
        <v>70</v>
      </c>
      <c r="Q20" s="78">
        <v>70</v>
      </c>
      <c r="R20" s="78">
        <v>70</v>
      </c>
      <c r="S20" s="79">
        <v>70</v>
      </c>
      <c r="T20" s="77">
        <f t="shared" si="1"/>
        <v>63.21</v>
      </c>
      <c r="U20" s="77">
        <f t="shared" si="0"/>
        <v>63.21</v>
      </c>
      <c r="V20" s="77">
        <f t="shared" si="0"/>
        <v>63.21</v>
      </c>
      <c r="W20" s="77">
        <f t="shared" si="0"/>
        <v>63.21</v>
      </c>
    </row>
    <row r="21" spans="1:23" ht="31.5" customHeight="1" x14ac:dyDescent="0.25">
      <c r="A21" s="41" t="s">
        <v>90</v>
      </c>
      <c r="B21" s="75" t="s">
        <v>84</v>
      </c>
      <c r="C21" s="43" t="s">
        <v>91</v>
      </c>
      <c r="D21" s="44" t="s">
        <v>59</v>
      </c>
      <c r="E21" s="46">
        <v>1642.4173333333333</v>
      </c>
      <c r="F21" s="46">
        <v>1702.348</v>
      </c>
      <c r="G21" s="46">
        <v>1718.212</v>
      </c>
      <c r="H21" s="46">
        <v>1689.1279999999999</v>
      </c>
      <c r="I21" s="47">
        <v>6752.105333333333</v>
      </c>
      <c r="J21" s="48"/>
      <c r="K21" s="66"/>
      <c r="L21" s="67"/>
      <c r="M21" s="67"/>
      <c r="N21" s="68"/>
      <c r="O21" s="48"/>
      <c r="P21" s="50">
        <v>100</v>
      </c>
      <c r="Q21" s="51">
        <v>100</v>
      </c>
      <c r="R21" s="51">
        <v>100</v>
      </c>
      <c r="S21" s="52">
        <v>100</v>
      </c>
      <c r="T21" s="53">
        <f t="shared" si="1"/>
        <v>90.3</v>
      </c>
      <c r="U21" s="53">
        <f t="shared" si="0"/>
        <v>90.3</v>
      </c>
      <c r="V21" s="53">
        <f t="shared" si="0"/>
        <v>90.3</v>
      </c>
      <c r="W21" s="53">
        <f t="shared" si="0"/>
        <v>90.3</v>
      </c>
    </row>
    <row r="22" spans="1:23" ht="31.5" customHeight="1" x14ac:dyDescent="0.25">
      <c r="A22" s="41" t="s">
        <v>92</v>
      </c>
      <c r="B22" s="75" t="s">
        <v>84</v>
      </c>
      <c r="C22" s="43" t="s">
        <v>93</v>
      </c>
      <c r="D22" s="44" t="s">
        <v>59</v>
      </c>
      <c r="E22" s="46">
        <v>1647.143</v>
      </c>
      <c r="F22" s="46">
        <v>1707.4760219780219</v>
      </c>
      <c r="G22" s="46">
        <v>1723.4505869565219</v>
      </c>
      <c r="H22" s="46">
        <v>1695.2812608695654</v>
      </c>
      <c r="I22" s="47">
        <v>6773.3508698041096</v>
      </c>
      <c r="J22" s="48"/>
      <c r="K22" s="66"/>
      <c r="L22" s="67"/>
      <c r="M22" s="67"/>
      <c r="N22" s="68"/>
      <c r="O22" s="48"/>
      <c r="P22" s="76">
        <v>70</v>
      </c>
      <c r="Q22" s="78">
        <v>70</v>
      </c>
      <c r="R22" s="78">
        <v>70</v>
      </c>
      <c r="S22" s="79">
        <v>70</v>
      </c>
      <c r="T22" s="77">
        <f t="shared" si="1"/>
        <v>63.21</v>
      </c>
      <c r="U22" s="77">
        <f t="shared" si="0"/>
        <v>63.21</v>
      </c>
      <c r="V22" s="77">
        <f t="shared" si="0"/>
        <v>63.21</v>
      </c>
      <c r="W22" s="77">
        <f t="shared" si="0"/>
        <v>63.21</v>
      </c>
    </row>
    <row r="23" spans="1:23" ht="31.5" customHeight="1" x14ac:dyDescent="0.25">
      <c r="A23" s="41" t="s">
        <v>94</v>
      </c>
      <c r="B23" s="75" t="s">
        <v>84</v>
      </c>
      <c r="C23" s="43" t="s">
        <v>95</v>
      </c>
      <c r="D23" s="44" t="s">
        <v>59</v>
      </c>
      <c r="E23" s="46">
        <v>1665.9090000000001</v>
      </c>
      <c r="F23" s="46">
        <v>1707.4760219780219</v>
      </c>
      <c r="G23" s="46">
        <v>1723.4505869565219</v>
      </c>
      <c r="H23" s="46">
        <v>1695.2812608695654</v>
      </c>
      <c r="I23" s="47">
        <v>6792.1168698041092</v>
      </c>
      <c r="J23" s="48"/>
      <c r="K23" s="66"/>
      <c r="L23" s="67"/>
      <c r="M23" s="67"/>
      <c r="N23" s="68"/>
      <c r="O23" s="48"/>
      <c r="P23" s="50">
        <v>100</v>
      </c>
      <c r="Q23" s="51">
        <v>100</v>
      </c>
      <c r="R23" s="51">
        <v>100</v>
      </c>
      <c r="S23" s="52">
        <v>100</v>
      </c>
      <c r="T23" s="53">
        <f t="shared" si="1"/>
        <v>90.3</v>
      </c>
      <c r="U23" s="53">
        <f t="shared" si="0"/>
        <v>90.3</v>
      </c>
      <c r="V23" s="53">
        <f t="shared" si="0"/>
        <v>90.3</v>
      </c>
      <c r="W23" s="53">
        <f t="shared" si="0"/>
        <v>90.3</v>
      </c>
    </row>
    <row r="24" spans="1:23" ht="31.5" customHeight="1" x14ac:dyDescent="0.25">
      <c r="A24" s="41" t="s">
        <v>96</v>
      </c>
      <c r="B24" s="75" t="s">
        <v>84</v>
      </c>
      <c r="C24" s="43" t="s">
        <v>97</v>
      </c>
      <c r="D24" s="44" t="s">
        <v>59</v>
      </c>
      <c r="E24" s="46">
        <v>1665.9090000000001</v>
      </c>
      <c r="F24" s="46">
        <v>1707.4760219780219</v>
      </c>
      <c r="G24" s="46">
        <v>1723.4505869565219</v>
      </c>
      <c r="H24" s="46">
        <v>1695.2812608695654</v>
      </c>
      <c r="I24" s="47">
        <v>6792.1168698041092</v>
      </c>
      <c r="J24" s="48"/>
      <c r="K24" s="66"/>
      <c r="L24" s="67"/>
      <c r="M24" s="67"/>
      <c r="N24" s="68"/>
      <c r="O24" s="48"/>
      <c r="P24" s="50">
        <v>100</v>
      </c>
      <c r="Q24" s="51">
        <v>100</v>
      </c>
      <c r="R24" s="51">
        <v>100</v>
      </c>
      <c r="S24" s="52">
        <v>100</v>
      </c>
      <c r="T24" s="53">
        <f t="shared" si="1"/>
        <v>90.3</v>
      </c>
      <c r="U24" s="53">
        <f t="shared" si="0"/>
        <v>90.3</v>
      </c>
      <c r="V24" s="53">
        <f t="shared" si="0"/>
        <v>90.3</v>
      </c>
      <c r="W24" s="53">
        <f t="shared" si="0"/>
        <v>90.3</v>
      </c>
    </row>
    <row r="25" spans="1:23" ht="31.5" customHeight="1" x14ac:dyDescent="0.25">
      <c r="A25" s="41" t="s">
        <v>98</v>
      </c>
      <c r="B25" s="75" t="s">
        <v>84</v>
      </c>
      <c r="C25" s="43" t="s">
        <v>99</v>
      </c>
      <c r="D25" s="44" t="s">
        <v>59</v>
      </c>
      <c r="E25" s="46">
        <v>1044.925</v>
      </c>
      <c r="F25" s="46">
        <v>1434.4163882783882</v>
      </c>
      <c r="G25" s="46">
        <v>1723.4505869565219</v>
      </c>
      <c r="H25" s="46">
        <v>1695.2812608695654</v>
      </c>
      <c r="I25" s="47">
        <v>5898.0732361044757</v>
      </c>
      <c r="J25" s="48"/>
      <c r="K25" s="66"/>
      <c r="L25" s="67"/>
      <c r="M25" s="67"/>
      <c r="N25" s="68"/>
      <c r="O25" s="48"/>
      <c r="P25" s="50">
        <v>100</v>
      </c>
      <c r="Q25" s="51">
        <v>100</v>
      </c>
      <c r="R25" s="51">
        <v>100</v>
      </c>
      <c r="S25" s="52">
        <v>100</v>
      </c>
      <c r="T25" s="53">
        <f t="shared" si="1"/>
        <v>90.3</v>
      </c>
      <c r="U25" s="53">
        <f t="shared" si="0"/>
        <v>90.3</v>
      </c>
      <c r="V25" s="53">
        <f t="shared" si="0"/>
        <v>90.3</v>
      </c>
      <c r="W25" s="53">
        <f t="shared" si="0"/>
        <v>90.3</v>
      </c>
    </row>
    <row r="26" spans="1:23" ht="31.5" customHeight="1" x14ac:dyDescent="0.25">
      <c r="A26" s="41" t="s">
        <v>100</v>
      </c>
      <c r="B26" s="75" t="s">
        <v>84</v>
      </c>
      <c r="C26" s="43" t="s">
        <v>101</v>
      </c>
      <c r="D26" s="44" t="s">
        <v>59</v>
      </c>
      <c r="E26" s="46">
        <v>1665.9090000000001</v>
      </c>
      <c r="F26" s="46">
        <v>1106.7448278388279</v>
      </c>
      <c r="G26" s="46">
        <v>1723.4505869565219</v>
      </c>
      <c r="H26" s="46">
        <v>1695.2812608695654</v>
      </c>
      <c r="I26" s="47">
        <v>6191.3856756649147</v>
      </c>
      <c r="J26" s="48"/>
      <c r="K26" s="66"/>
      <c r="L26" s="67"/>
      <c r="M26" s="67"/>
      <c r="N26" s="68"/>
      <c r="O26" s="48"/>
      <c r="P26" s="50">
        <v>100</v>
      </c>
      <c r="Q26" s="51">
        <v>100</v>
      </c>
      <c r="R26" s="51">
        <v>100</v>
      </c>
      <c r="S26" s="52">
        <v>100</v>
      </c>
      <c r="T26" s="53">
        <f t="shared" si="1"/>
        <v>90.3</v>
      </c>
      <c r="U26" s="53">
        <f t="shared" si="0"/>
        <v>90.3</v>
      </c>
      <c r="V26" s="53">
        <f t="shared" si="0"/>
        <v>90.3</v>
      </c>
      <c r="W26" s="53">
        <f t="shared" si="0"/>
        <v>90.3</v>
      </c>
    </row>
    <row r="27" spans="1:23" ht="31.5" customHeight="1" x14ac:dyDescent="0.25">
      <c r="A27" s="41" t="s">
        <v>102</v>
      </c>
      <c r="B27" s="75" t="s">
        <v>84</v>
      </c>
      <c r="C27" s="43" t="s">
        <v>103</v>
      </c>
      <c r="D27" s="44" t="s">
        <v>59</v>
      </c>
      <c r="E27" s="46">
        <v>1665.9090000000001</v>
      </c>
      <c r="F27" s="46">
        <v>1106.7448278388279</v>
      </c>
      <c r="G27" s="46">
        <v>1723.4505869565219</v>
      </c>
      <c r="H27" s="46">
        <v>1695.2812608695654</v>
      </c>
      <c r="I27" s="47">
        <v>6191.3856756649147</v>
      </c>
      <c r="J27" s="48"/>
      <c r="K27" s="66"/>
      <c r="L27" s="67"/>
      <c r="M27" s="67"/>
      <c r="N27" s="68"/>
      <c r="O27" s="48"/>
      <c r="P27" s="50">
        <v>100</v>
      </c>
      <c r="Q27" s="51">
        <v>100</v>
      </c>
      <c r="R27" s="51">
        <v>100</v>
      </c>
      <c r="S27" s="52">
        <v>100</v>
      </c>
      <c r="T27" s="53">
        <f t="shared" si="1"/>
        <v>90.3</v>
      </c>
      <c r="U27" s="53">
        <f t="shared" si="0"/>
        <v>90.3</v>
      </c>
      <c r="V27" s="53">
        <f t="shared" si="0"/>
        <v>90.3</v>
      </c>
      <c r="W27" s="53">
        <f t="shared" si="0"/>
        <v>90.3</v>
      </c>
    </row>
    <row r="28" spans="1:23" ht="31.5" customHeight="1" x14ac:dyDescent="0.25">
      <c r="A28" s="41" t="s">
        <v>104</v>
      </c>
      <c r="B28" s="75" t="s">
        <v>84</v>
      </c>
      <c r="C28" s="80" t="s">
        <v>105</v>
      </c>
      <c r="D28" s="44" t="s">
        <v>59</v>
      </c>
      <c r="E28" s="46">
        <v>1669.3209999999999</v>
      </c>
      <c r="F28" s="46">
        <v>799.55273992673995</v>
      </c>
      <c r="G28" s="46">
        <v>1723.4505869565219</v>
      </c>
      <c r="H28" s="46">
        <v>1695.2812608695654</v>
      </c>
      <c r="I28" s="47">
        <v>5887.605587752827</v>
      </c>
      <c r="J28" s="48"/>
      <c r="K28" s="66"/>
      <c r="L28" s="67"/>
      <c r="M28" s="67"/>
      <c r="N28" s="68"/>
      <c r="O28" s="48"/>
      <c r="P28" s="50">
        <v>100</v>
      </c>
      <c r="Q28" s="51">
        <v>100</v>
      </c>
      <c r="R28" s="51">
        <v>100</v>
      </c>
      <c r="S28" s="52">
        <v>100</v>
      </c>
      <c r="T28" s="53">
        <f t="shared" si="1"/>
        <v>90.3</v>
      </c>
      <c r="U28" s="53">
        <f t="shared" si="0"/>
        <v>90.3</v>
      </c>
      <c r="V28" s="53">
        <f t="shared" si="0"/>
        <v>90.3</v>
      </c>
      <c r="W28" s="53">
        <f t="shared" si="0"/>
        <v>90.3</v>
      </c>
    </row>
    <row r="29" spans="1:23" ht="31.5" customHeight="1" x14ac:dyDescent="0.25">
      <c r="A29" s="41" t="s">
        <v>106</v>
      </c>
      <c r="B29" s="75" t="s">
        <v>84</v>
      </c>
      <c r="C29" s="80" t="s">
        <v>107</v>
      </c>
      <c r="D29" s="44" t="s">
        <v>59</v>
      </c>
      <c r="E29" s="46">
        <v>1665.9090000000001</v>
      </c>
      <c r="F29" s="46">
        <v>1712.5958901098902</v>
      </c>
      <c r="G29" s="46">
        <v>781.05858695652171</v>
      </c>
      <c r="H29" s="46">
        <v>1695.2812608695654</v>
      </c>
      <c r="I29" s="47">
        <v>5854.8447379359768</v>
      </c>
      <c r="J29" s="48"/>
      <c r="K29" s="66"/>
      <c r="L29" s="67"/>
      <c r="M29" s="67"/>
      <c r="N29" s="68"/>
      <c r="O29" s="48"/>
      <c r="P29" s="50">
        <v>100</v>
      </c>
      <c r="Q29" s="51">
        <v>100</v>
      </c>
      <c r="R29" s="51">
        <v>100</v>
      </c>
      <c r="S29" s="52">
        <v>100</v>
      </c>
      <c r="T29" s="53">
        <f t="shared" si="1"/>
        <v>90.3</v>
      </c>
      <c r="U29" s="53">
        <f t="shared" si="0"/>
        <v>90.3</v>
      </c>
      <c r="V29" s="53">
        <f t="shared" si="0"/>
        <v>90.3</v>
      </c>
      <c r="W29" s="53">
        <f t="shared" si="0"/>
        <v>90.3</v>
      </c>
    </row>
    <row r="30" spans="1:23" ht="31.5" customHeight="1" x14ac:dyDescent="0.25">
      <c r="A30" s="41" t="s">
        <v>108</v>
      </c>
      <c r="B30" s="75" t="s">
        <v>84</v>
      </c>
      <c r="C30" s="80" t="s">
        <v>109</v>
      </c>
      <c r="D30" s="44" t="s">
        <v>59</v>
      </c>
      <c r="E30" s="46">
        <v>1665.9090000000001</v>
      </c>
      <c r="F30" s="46">
        <v>1707.4760219780219</v>
      </c>
      <c r="G30" s="46">
        <v>781.05858695652171</v>
      </c>
      <c r="H30" s="46">
        <v>1700.402956521739</v>
      </c>
      <c r="I30" s="47">
        <v>5854.8465654562824</v>
      </c>
      <c r="J30" s="48"/>
      <c r="K30" s="66"/>
      <c r="L30" s="67"/>
      <c r="M30" s="67"/>
      <c r="N30" s="68"/>
      <c r="O30" s="48"/>
      <c r="P30" s="50">
        <v>100</v>
      </c>
      <c r="Q30" s="51">
        <v>100</v>
      </c>
      <c r="R30" s="51">
        <v>100</v>
      </c>
      <c r="S30" s="52">
        <v>100</v>
      </c>
      <c r="T30" s="53">
        <f t="shared" si="1"/>
        <v>90.3</v>
      </c>
      <c r="U30" s="53">
        <f t="shared" si="0"/>
        <v>90.3</v>
      </c>
      <c r="V30" s="53">
        <f t="shared" si="0"/>
        <v>90.3</v>
      </c>
      <c r="W30" s="53">
        <f t="shared" si="0"/>
        <v>90.3</v>
      </c>
    </row>
    <row r="31" spans="1:23" ht="31.5" customHeight="1" x14ac:dyDescent="0.25">
      <c r="A31" s="41" t="s">
        <v>110</v>
      </c>
      <c r="B31" s="75" t="s">
        <v>84</v>
      </c>
      <c r="C31" s="80" t="s">
        <v>111</v>
      </c>
      <c r="D31" s="44" t="s">
        <v>59</v>
      </c>
      <c r="E31" s="46">
        <v>1665.9090000000001</v>
      </c>
      <c r="F31" s="46">
        <v>1712.5958901098902</v>
      </c>
      <c r="G31" s="46">
        <v>781.05858695652171</v>
      </c>
      <c r="H31" s="46">
        <v>1695.2812608695654</v>
      </c>
      <c r="I31" s="47">
        <v>5854.8447379359768</v>
      </c>
      <c r="J31" s="48"/>
      <c r="K31" s="66"/>
      <c r="L31" s="67"/>
      <c r="M31" s="67"/>
      <c r="N31" s="68"/>
      <c r="O31" s="48"/>
      <c r="P31" s="50">
        <v>100</v>
      </c>
      <c r="Q31" s="51">
        <v>100</v>
      </c>
      <c r="R31" s="51">
        <v>100</v>
      </c>
      <c r="S31" s="52">
        <v>100</v>
      </c>
      <c r="T31" s="53">
        <f t="shared" si="1"/>
        <v>90.3</v>
      </c>
      <c r="U31" s="53">
        <f t="shared" si="0"/>
        <v>90.3</v>
      </c>
      <c r="V31" s="53">
        <f t="shared" si="0"/>
        <v>90.3</v>
      </c>
      <c r="W31" s="53">
        <f t="shared" si="0"/>
        <v>90.3</v>
      </c>
    </row>
    <row r="32" spans="1:23" ht="31.5" customHeight="1" x14ac:dyDescent="0.25">
      <c r="A32" s="41" t="s">
        <v>112</v>
      </c>
      <c r="B32" s="75" t="s">
        <v>84</v>
      </c>
      <c r="C32" s="80" t="s">
        <v>113</v>
      </c>
      <c r="D32" s="44" t="s">
        <v>59</v>
      </c>
      <c r="E32" s="46">
        <v>1669.3209999999999</v>
      </c>
      <c r="F32" s="46">
        <v>1707.4760219780219</v>
      </c>
      <c r="G32" s="46">
        <v>1723.4505869565219</v>
      </c>
      <c r="H32" s="46">
        <v>1060.191</v>
      </c>
      <c r="I32" s="47">
        <v>6160.4386089345435</v>
      </c>
      <c r="J32" s="48"/>
      <c r="K32" s="66"/>
      <c r="L32" s="67"/>
      <c r="M32" s="67"/>
      <c r="N32" s="68"/>
      <c r="O32" s="48"/>
      <c r="P32" s="50">
        <v>100</v>
      </c>
      <c r="Q32" s="51">
        <v>100</v>
      </c>
      <c r="R32" s="51">
        <v>100</v>
      </c>
      <c r="S32" s="52">
        <v>100</v>
      </c>
      <c r="T32" s="53">
        <f t="shared" si="1"/>
        <v>90.3</v>
      </c>
      <c r="U32" s="53">
        <f t="shared" si="0"/>
        <v>90.3</v>
      </c>
      <c r="V32" s="53">
        <f t="shared" si="0"/>
        <v>90.3</v>
      </c>
      <c r="W32" s="53">
        <f t="shared" si="0"/>
        <v>90.3</v>
      </c>
    </row>
    <row r="33" spans="1:23" ht="31.5" customHeight="1" x14ac:dyDescent="0.25">
      <c r="A33" s="41" t="s">
        <v>114</v>
      </c>
      <c r="B33" s="75" t="s">
        <v>84</v>
      </c>
      <c r="C33" s="80" t="s">
        <v>115</v>
      </c>
      <c r="D33" s="44" t="s">
        <v>59</v>
      </c>
      <c r="E33" s="46">
        <v>1665.9090000000001</v>
      </c>
      <c r="F33" s="46">
        <v>1707.4760219780219</v>
      </c>
      <c r="G33" s="46">
        <v>1723.4505869565219</v>
      </c>
      <c r="H33" s="46">
        <v>773.37604347826084</v>
      </c>
      <c r="I33" s="47">
        <v>5870.2116524128041</v>
      </c>
      <c r="J33" s="48"/>
      <c r="K33" s="66"/>
      <c r="L33" s="67"/>
      <c r="M33" s="67"/>
      <c r="N33" s="68"/>
      <c r="O33" s="48"/>
      <c r="P33" s="50">
        <v>100</v>
      </c>
      <c r="Q33" s="51">
        <v>100</v>
      </c>
      <c r="R33" s="51">
        <v>100</v>
      </c>
      <c r="S33" s="52">
        <v>100</v>
      </c>
      <c r="T33" s="53">
        <f t="shared" si="1"/>
        <v>90.3</v>
      </c>
      <c r="U33" s="53">
        <f t="shared" si="0"/>
        <v>90.3</v>
      </c>
      <c r="V33" s="53">
        <f t="shared" si="0"/>
        <v>90.3</v>
      </c>
      <c r="W33" s="53">
        <f t="shared" si="0"/>
        <v>90.3</v>
      </c>
    </row>
    <row r="34" spans="1:23" ht="31.5" customHeight="1" x14ac:dyDescent="0.25">
      <c r="A34" s="41" t="s">
        <v>116</v>
      </c>
      <c r="B34" s="75" t="s">
        <v>84</v>
      </c>
      <c r="C34" s="80" t="s">
        <v>117</v>
      </c>
      <c r="D34" s="44" t="s">
        <v>59</v>
      </c>
      <c r="E34" s="46">
        <v>1665.9090000000001</v>
      </c>
      <c r="F34" s="46">
        <v>1710.8892673992673</v>
      </c>
      <c r="G34" s="46">
        <v>1743.9373695652175</v>
      </c>
      <c r="H34" s="46">
        <v>1063.6054637681159</v>
      </c>
      <c r="I34" s="47">
        <v>6184.3411007326013</v>
      </c>
      <c r="J34" s="48"/>
      <c r="K34" s="66"/>
      <c r="L34" s="67"/>
      <c r="M34" s="67"/>
      <c r="N34" s="68"/>
      <c r="O34" s="48"/>
      <c r="P34" s="50">
        <v>100</v>
      </c>
      <c r="Q34" s="51">
        <v>100</v>
      </c>
      <c r="R34" s="51">
        <v>100</v>
      </c>
      <c r="S34" s="52">
        <v>100</v>
      </c>
      <c r="T34" s="53">
        <f t="shared" si="1"/>
        <v>90.3</v>
      </c>
      <c r="U34" s="53">
        <f t="shared" si="0"/>
        <v>90.3</v>
      </c>
      <c r="V34" s="53">
        <f t="shared" si="0"/>
        <v>90.3</v>
      </c>
      <c r="W34" s="53">
        <f t="shared" si="0"/>
        <v>90.3</v>
      </c>
    </row>
    <row r="35" spans="1:23" ht="31.5" customHeight="1" x14ac:dyDescent="0.25">
      <c r="A35" s="41" t="s">
        <v>118</v>
      </c>
      <c r="B35" s="81" t="s">
        <v>84</v>
      </c>
      <c r="C35" s="82" t="s">
        <v>119</v>
      </c>
      <c r="D35" s="83" t="s">
        <v>59</v>
      </c>
      <c r="E35" s="84">
        <v>1682.9690000000001</v>
      </c>
      <c r="F35" s="74">
        <v>1750.1415897435897</v>
      </c>
      <c r="G35" s="74">
        <v>1771.2530797101449</v>
      </c>
      <c r="H35" s="74">
        <v>1722.5969710144927</v>
      </c>
      <c r="I35" s="85">
        <v>6926.9606404682272</v>
      </c>
      <c r="J35" s="86"/>
      <c r="K35" s="87"/>
      <c r="L35" s="88"/>
      <c r="M35" s="88"/>
      <c r="N35" s="89"/>
      <c r="O35" s="86"/>
      <c r="P35" s="50">
        <v>100</v>
      </c>
      <c r="Q35" s="51">
        <v>100</v>
      </c>
      <c r="R35" s="51">
        <v>100</v>
      </c>
      <c r="S35" s="52">
        <v>100</v>
      </c>
      <c r="T35" s="53">
        <f t="shared" si="1"/>
        <v>90.3</v>
      </c>
      <c r="U35" s="53">
        <f t="shared" si="0"/>
        <v>90.3</v>
      </c>
      <c r="V35" s="53">
        <f t="shared" si="0"/>
        <v>90.3</v>
      </c>
      <c r="W35" s="53">
        <f t="shared" si="0"/>
        <v>90.3</v>
      </c>
    </row>
    <row r="36" spans="1:23" ht="31.5" customHeight="1" x14ac:dyDescent="0.25">
      <c r="A36" s="41" t="s">
        <v>120</v>
      </c>
      <c r="B36" s="81" t="s">
        <v>84</v>
      </c>
      <c r="C36" s="82" t="s">
        <v>121</v>
      </c>
      <c r="D36" s="83" t="s">
        <v>59</v>
      </c>
      <c r="E36" s="84">
        <v>1703.441</v>
      </c>
      <c r="F36" s="74">
        <v>1750.1415897435897</v>
      </c>
      <c r="G36" s="74">
        <v>1771.2530797101449</v>
      </c>
      <c r="H36" s="74">
        <v>1722.5969710144927</v>
      </c>
      <c r="I36" s="85">
        <v>6947.432640468227</v>
      </c>
      <c r="J36" s="86"/>
      <c r="K36" s="87"/>
      <c r="L36" s="88"/>
      <c r="M36" s="88"/>
      <c r="N36" s="89"/>
      <c r="O36" s="86"/>
      <c r="P36" s="50">
        <v>100</v>
      </c>
      <c r="Q36" s="51">
        <v>100</v>
      </c>
      <c r="R36" s="51">
        <v>100</v>
      </c>
      <c r="S36" s="52">
        <v>100</v>
      </c>
      <c r="T36" s="53">
        <f t="shared" si="1"/>
        <v>90.3</v>
      </c>
      <c r="U36" s="53">
        <f t="shared" si="0"/>
        <v>90.3</v>
      </c>
      <c r="V36" s="53">
        <f t="shared" si="0"/>
        <v>90.3</v>
      </c>
      <c r="W36" s="53">
        <f t="shared" si="0"/>
        <v>90.3</v>
      </c>
    </row>
    <row r="37" spans="1:23" ht="31.5" customHeight="1" x14ac:dyDescent="0.25">
      <c r="A37" s="41" t="s">
        <v>122</v>
      </c>
      <c r="B37" s="81" t="s">
        <v>84</v>
      </c>
      <c r="C37" s="82" t="s">
        <v>123</v>
      </c>
      <c r="D37" s="83" t="s">
        <v>59</v>
      </c>
      <c r="E37" s="90">
        <v>1248.8733333333334</v>
      </c>
      <c r="F37" s="74">
        <v>1750.1415897435897</v>
      </c>
      <c r="G37" s="74">
        <v>1771.2530797101449</v>
      </c>
      <c r="H37" s="74">
        <v>1722.5969710144927</v>
      </c>
      <c r="I37" s="85">
        <v>6492.8649738015611</v>
      </c>
      <c r="J37" s="86"/>
      <c r="K37" s="87"/>
      <c r="L37" s="88"/>
      <c r="M37" s="88"/>
      <c r="N37" s="89"/>
      <c r="O37" s="86"/>
      <c r="P37" s="50">
        <v>100</v>
      </c>
      <c r="Q37" s="51">
        <v>100</v>
      </c>
      <c r="R37" s="51">
        <v>100</v>
      </c>
      <c r="S37" s="52">
        <v>100</v>
      </c>
      <c r="T37" s="53">
        <f t="shared" si="1"/>
        <v>90.3</v>
      </c>
      <c r="U37" s="53">
        <f t="shared" si="0"/>
        <v>90.3</v>
      </c>
      <c r="V37" s="53">
        <f t="shared" si="0"/>
        <v>90.3</v>
      </c>
      <c r="W37" s="53">
        <f t="shared" si="0"/>
        <v>90.3</v>
      </c>
    </row>
    <row r="38" spans="1:23" ht="32.25" customHeight="1" thickBot="1" x14ac:dyDescent="0.3">
      <c r="A38" s="91" t="s">
        <v>124</v>
      </c>
      <c r="B38" s="92" t="s">
        <v>84</v>
      </c>
      <c r="C38" s="93" t="s">
        <v>125</v>
      </c>
      <c r="D38" s="94" t="s">
        <v>59</v>
      </c>
      <c r="E38" s="95">
        <v>151.15633333333332</v>
      </c>
      <c r="F38" s="96">
        <v>1750.1415897435897</v>
      </c>
      <c r="G38" s="96">
        <v>1771.2530797101449</v>
      </c>
      <c r="H38" s="96">
        <v>1722.5969710144927</v>
      </c>
      <c r="I38" s="97">
        <v>5395.1479738015605</v>
      </c>
      <c r="J38" s="86"/>
      <c r="K38" s="87"/>
      <c r="L38" s="88"/>
      <c r="M38" s="88"/>
      <c r="N38" s="89"/>
      <c r="O38" s="86"/>
      <c r="P38" s="50">
        <v>100</v>
      </c>
      <c r="Q38" s="51">
        <v>100</v>
      </c>
      <c r="R38" s="51">
        <v>100</v>
      </c>
      <c r="S38" s="52">
        <v>100</v>
      </c>
      <c r="T38" s="53">
        <f t="shared" si="1"/>
        <v>90.3</v>
      </c>
      <c r="U38" s="53">
        <f t="shared" si="0"/>
        <v>90.3</v>
      </c>
      <c r="V38" s="53">
        <f t="shared" si="0"/>
        <v>90.3</v>
      </c>
      <c r="W38" s="53">
        <f t="shared" si="0"/>
        <v>90.3</v>
      </c>
    </row>
    <row r="39" spans="1:23" ht="16.5" thickBot="1" x14ac:dyDescent="0.3">
      <c r="A39" s="98"/>
      <c r="B39" s="99" t="s">
        <v>126</v>
      </c>
      <c r="C39" s="99"/>
      <c r="D39" s="99"/>
      <c r="E39" s="99"/>
      <c r="F39" s="99"/>
      <c r="G39" s="99"/>
      <c r="H39" s="99"/>
      <c r="I39" s="99"/>
      <c r="J39" s="55">
        <v>0.86361333295860154</v>
      </c>
      <c r="K39" s="56">
        <v>0.8815277067348678</v>
      </c>
      <c r="L39" s="57">
        <v>0.86219073931739332</v>
      </c>
      <c r="M39" s="57">
        <v>0.84412755814909191</v>
      </c>
      <c r="N39" s="58">
        <v>0.86003123202104059</v>
      </c>
      <c r="O39" s="55">
        <v>0.86361333295860154</v>
      </c>
      <c r="P39" s="56"/>
      <c r="Q39" s="57"/>
      <c r="R39" s="57"/>
      <c r="S39" s="100"/>
      <c r="T39" s="56"/>
      <c r="U39" s="57"/>
      <c r="V39" s="57"/>
      <c r="W39" s="100"/>
    </row>
    <row r="40" spans="1:23" ht="15.75" x14ac:dyDescent="0.25">
      <c r="A40" s="101"/>
      <c r="B40" s="102" t="s">
        <v>127</v>
      </c>
      <c r="C40" s="103"/>
      <c r="D40" s="103"/>
      <c r="E40" s="103"/>
      <c r="F40" s="103"/>
      <c r="G40" s="103"/>
      <c r="H40" s="103"/>
      <c r="I40" s="103"/>
      <c r="J40" s="104">
        <v>0.8407721174360161</v>
      </c>
      <c r="K40" s="105">
        <v>0.89912019107159769</v>
      </c>
      <c r="L40" s="106">
        <v>0.81749746394122569</v>
      </c>
      <c r="M40" s="106">
        <v>0.8303924357380621</v>
      </c>
      <c r="N40" s="107">
        <v>0.8305551560231228</v>
      </c>
      <c r="O40" s="104">
        <v>0.85655672456052157</v>
      </c>
      <c r="P40" s="105"/>
      <c r="Q40" s="106"/>
      <c r="R40" s="106"/>
      <c r="S40" s="108"/>
      <c r="T40" s="105">
        <f>SUM(T5:T39)/31</f>
        <v>87.678387096774216</v>
      </c>
      <c r="U40" s="106">
        <f t="shared" ref="U40:W40" si="2">SUM(U5:U39)/31</f>
        <v>87.678387096774216</v>
      </c>
      <c r="V40" s="106">
        <f t="shared" si="2"/>
        <v>87.678387096774216</v>
      </c>
      <c r="W40" s="108">
        <f t="shared" si="2"/>
        <v>87.678387096774216</v>
      </c>
    </row>
  </sheetData>
  <mergeCells count="10">
    <mergeCell ref="K1:N3"/>
    <mergeCell ref="O1:O4"/>
    <mergeCell ref="P1:S3"/>
    <mergeCell ref="T1:W3"/>
    <mergeCell ref="A1:A4"/>
    <mergeCell ref="B1:B4"/>
    <mergeCell ref="C1:C4"/>
    <mergeCell ref="D1:D4"/>
    <mergeCell ref="E1:I3"/>
    <mergeCell ref="J1:J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abSelected="1" workbookViewId="0">
      <selection activeCell="J9" sqref="J9"/>
    </sheetView>
  </sheetViews>
  <sheetFormatPr defaultRowHeight="15" x14ac:dyDescent="0.25"/>
  <cols>
    <col min="1" max="1" width="25.42578125" style="111" customWidth="1"/>
    <col min="2" max="2" width="0" hidden="1" customWidth="1"/>
    <col min="3" max="6" width="9.140625" style="22"/>
    <col min="7" max="14" width="9.140625" style="111"/>
    <col min="15" max="15" width="9.140625" style="22"/>
    <col min="16" max="24" width="9.140625" style="111"/>
    <col min="26" max="26" width="9.140625" style="22"/>
  </cols>
  <sheetData>
    <row r="1" spans="1:32" ht="15.75" thickBot="1" x14ac:dyDescent="0.3">
      <c r="A1" s="169" t="s">
        <v>33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</row>
    <row r="2" spans="1:32" ht="15.75" customHeight="1" x14ac:dyDescent="0.25">
      <c r="A2" s="178" t="s">
        <v>1</v>
      </c>
      <c r="B2" s="1"/>
      <c r="C2" s="180" t="s">
        <v>2</v>
      </c>
      <c r="D2" s="182" t="s">
        <v>3</v>
      </c>
      <c r="E2" s="184" t="s">
        <v>4</v>
      </c>
      <c r="F2" s="172" t="s">
        <v>5</v>
      </c>
      <c r="G2" s="174" t="s">
        <v>6</v>
      </c>
      <c r="H2" s="112"/>
      <c r="I2" s="174" t="s">
        <v>7</v>
      </c>
      <c r="J2" s="174" t="s">
        <v>8</v>
      </c>
      <c r="K2" s="174" t="s">
        <v>9</v>
      </c>
      <c r="L2" s="113"/>
      <c r="M2" s="114"/>
      <c r="N2" s="115"/>
      <c r="O2" s="176" t="s">
        <v>10</v>
      </c>
      <c r="P2" s="125"/>
      <c r="Q2" s="186" t="s">
        <v>11</v>
      </c>
      <c r="R2" s="125"/>
      <c r="S2" s="125"/>
      <c r="T2" s="125"/>
      <c r="U2" s="125"/>
      <c r="V2" s="125"/>
      <c r="W2" s="188"/>
      <c r="X2" s="188"/>
      <c r="Y2" s="189" t="s">
        <v>12</v>
      </c>
      <c r="Z2" s="27"/>
      <c r="AA2" s="2"/>
      <c r="AB2" s="2"/>
      <c r="AC2" s="2"/>
      <c r="AD2" s="2"/>
      <c r="AE2" s="2"/>
      <c r="AF2" s="2"/>
    </row>
    <row r="3" spans="1:32" ht="158.25" thickBot="1" x14ac:dyDescent="0.3">
      <c r="A3" s="179"/>
      <c r="B3" s="3" t="s">
        <v>34</v>
      </c>
      <c r="C3" s="181"/>
      <c r="D3" s="183"/>
      <c r="E3" s="185"/>
      <c r="F3" s="173"/>
      <c r="G3" s="175"/>
      <c r="H3" s="116"/>
      <c r="I3" s="175"/>
      <c r="J3" s="175"/>
      <c r="K3" s="175"/>
      <c r="L3" s="117" t="s">
        <v>13</v>
      </c>
      <c r="M3" s="118" t="s">
        <v>0</v>
      </c>
      <c r="N3" s="119" t="s">
        <v>14</v>
      </c>
      <c r="O3" s="177"/>
      <c r="P3" s="126" t="s">
        <v>15</v>
      </c>
      <c r="Q3" s="187"/>
      <c r="R3" s="126" t="s">
        <v>16</v>
      </c>
      <c r="S3" s="126" t="s">
        <v>17</v>
      </c>
      <c r="T3" s="126" t="s">
        <v>18</v>
      </c>
      <c r="U3" s="126" t="s">
        <v>19</v>
      </c>
      <c r="V3" s="126" t="s">
        <v>20</v>
      </c>
      <c r="W3" s="127" t="s">
        <v>21</v>
      </c>
      <c r="X3" s="128" t="s">
        <v>22</v>
      </c>
      <c r="Y3" s="189"/>
      <c r="Z3" s="28" t="s">
        <v>23</v>
      </c>
      <c r="AA3" s="4" t="s">
        <v>24</v>
      </c>
      <c r="AB3" s="4" t="s">
        <v>25</v>
      </c>
      <c r="AC3" s="4" t="s">
        <v>24</v>
      </c>
      <c r="AD3" s="4" t="s">
        <v>26</v>
      </c>
      <c r="AE3" s="4" t="s">
        <v>27</v>
      </c>
      <c r="AF3" s="4"/>
    </row>
    <row r="4" spans="1:32" ht="15.75" x14ac:dyDescent="0.25">
      <c r="A4" s="5" t="s">
        <v>28</v>
      </c>
      <c r="B4" s="6"/>
      <c r="C4" s="19"/>
      <c r="D4" s="24"/>
      <c r="E4" s="24"/>
      <c r="F4" s="25"/>
      <c r="G4" s="7"/>
      <c r="H4" s="7"/>
      <c r="I4" s="8"/>
      <c r="J4" s="8"/>
      <c r="K4" s="8"/>
      <c r="L4" s="9"/>
      <c r="M4" s="120"/>
      <c r="N4" s="121"/>
      <c r="O4" s="31"/>
      <c r="P4" s="10"/>
      <c r="Q4" s="10"/>
      <c r="R4" s="10"/>
      <c r="S4" s="10"/>
      <c r="T4" s="129"/>
      <c r="U4" s="10"/>
      <c r="V4" s="10"/>
      <c r="W4" s="129" t="e">
        <f>W5+W6+W7+W8</f>
        <v>#VALUE!</v>
      </c>
      <c r="X4" s="130"/>
      <c r="Y4" s="2"/>
      <c r="Z4" s="29"/>
      <c r="AA4" s="2"/>
      <c r="AB4" s="11"/>
      <c r="AC4" s="2"/>
      <c r="AD4" s="12"/>
      <c r="AE4" s="2"/>
      <c r="AF4" s="2"/>
    </row>
    <row r="5" spans="1:32" ht="15.75" x14ac:dyDescent="0.25">
      <c r="A5" s="109" t="s">
        <v>29</v>
      </c>
      <c r="B5" s="13">
        <f>C5</f>
        <v>2</v>
      </c>
      <c r="C5" s="20">
        <v>2</v>
      </c>
      <c r="D5" s="23">
        <v>55</v>
      </c>
      <c r="E5" s="23">
        <v>20</v>
      </c>
      <c r="F5" s="26">
        <v>1.9981489855158836</v>
      </c>
      <c r="G5" s="122">
        <f>IF(F5=0,0,ROUNDUP(O5/F5,1))</f>
        <v>45.2</v>
      </c>
      <c r="H5" s="122">
        <f>I5/AA5</f>
        <v>46.153846153846153</v>
      </c>
      <c r="I5" s="16">
        <v>60</v>
      </c>
      <c r="J5" s="16">
        <f>I5/AA5</f>
        <v>46.153846153846153</v>
      </c>
      <c r="K5" s="16">
        <f>IF(Z5=0,0,IF(AB5=0,0,IF(G5&gt;J5,J5/(Z5*AB5),G5/(Z5*AB5))))</f>
        <v>18.800793498432199</v>
      </c>
      <c r="L5" s="16">
        <f>ROUNDUP(K5,0)</f>
        <v>19</v>
      </c>
      <c r="M5" s="123">
        <v>60</v>
      </c>
      <c r="N5" s="124">
        <f>ROUND(Y5/60*L5+M5/60,2)</f>
        <v>9.23</v>
      </c>
      <c r="O5" s="32">
        <f>$O$8</f>
        <v>90.3</v>
      </c>
      <c r="P5" s="131">
        <f>IF(G5=0,0,ROUND(60/S5,1))</f>
        <v>2.7</v>
      </c>
      <c r="Q5" s="131">
        <f>60*2*C5/E5</f>
        <v>12</v>
      </c>
      <c r="R5" s="131">
        <v>1</v>
      </c>
      <c r="S5" s="131">
        <f>N5+Q5+R5</f>
        <v>22.23</v>
      </c>
      <c r="T5" s="131">
        <f>IF(S5=0,0,ROUND(60/S5,1))</f>
        <v>2.7</v>
      </c>
      <c r="U5" s="131">
        <f t="shared" ref="U5:U6" si="0">IF(S5=0,0,ROUND(P5*H5,1))</f>
        <v>124.6</v>
      </c>
      <c r="V5" s="131" t="e">
        <f>(U5*W5+U6*W6+U7*W7)/W4</f>
        <v>#VALUE!</v>
      </c>
      <c r="W5" s="132">
        <v>56000</v>
      </c>
      <c r="X5" s="133">
        <f>W5*F5</f>
        <v>111896.34318888948</v>
      </c>
      <c r="Y5" s="2">
        <v>26</v>
      </c>
      <c r="Z5" s="29">
        <v>3.9067500000000002</v>
      </c>
      <c r="AA5" s="2">
        <v>1.3</v>
      </c>
      <c r="AB5" s="11">
        <f>AE5/AC5*AD5</f>
        <v>0.61538461538461542</v>
      </c>
      <c r="AC5" s="2">
        <v>1.3</v>
      </c>
      <c r="AD5" s="12">
        <v>1</v>
      </c>
      <c r="AE5" s="2">
        <v>0.8</v>
      </c>
      <c r="AF5" s="2">
        <f>IF(W5=0,0,W5/U5)</f>
        <v>449.43820224719104</v>
      </c>
    </row>
    <row r="6" spans="1:32" ht="15.75" x14ac:dyDescent="0.25">
      <c r="A6" s="109" t="s">
        <v>30</v>
      </c>
      <c r="B6" s="13">
        <f t="shared" ref="B6:B8" si="1">C6</f>
        <v>2.7</v>
      </c>
      <c r="C6" s="20">
        <v>2.7</v>
      </c>
      <c r="D6" s="23">
        <v>64.498552087566736</v>
      </c>
      <c r="E6" s="23">
        <v>18.899999999999999</v>
      </c>
      <c r="F6" s="26">
        <v>2.7929051863078165</v>
      </c>
      <c r="G6" s="122">
        <f t="shared" ref="G6:G8" si="2">IF(F6=0,0,ROUNDUP(O6/F6,1))</f>
        <v>32.4</v>
      </c>
      <c r="H6" s="122">
        <f>O6/F6</f>
        <v>32.331924636287205</v>
      </c>
      <c r="I6" s="16">
        <v>60</v>
      </c>
      <c r="J6" s="16">
        <f>I6/AA6</f>
        <v>41.379310344827587</v>
      </c>
      <c r="K6" s="16">
        <f>IF(Z6=0,0,IF(AB6=0,0,IF(G6&gt;J6,J6/(Z6*AB6),G6/(Z6*AB6))))</f>
        <v>15.031675945478979</v>
      </c>
      <c r="L6" s="16">
        <f>ROUNDUP(K6,0)</f>
        <v>16</v>
      </c>
      <c r="M6" s="123">
        <v>60</v>
      </c>
      <c r="N6" s="124">
        <f>ROUND(Y6/60*L6+M6/60,2)</f>
        <v>9.5299999999999994</v>
      </c>
      <c r="O6" s="32">
        <f t="shared" ref="O6:O7" si="3">$O$8</f>
        <v>90.3</v>
      </c>
      <c r="P6" s="131">
        <f t="shared" ref="P6:P8" si="4">IF(G6=0,0,ROUND(60/S6,1))</f>
        <v>2.2000000000000002</v>
      </c>
      <c r="Q6" s="131">
        <f t="shared" ref="Q6:Q8" si="5">60*2*C6/E6</f>
        <v>17.142857142857146</v>
      </c>
      <c r="R6" s="131">
        <v>1</v>
      </c>
      <c r="S6" s="131">
        <f>N6+Q6+R6</f>
        <v>27.672857142857147</v>
      </c>
      <c r="T6" s="131">
        <f>IF(S6=0,0,ROUND(60/S6,1))</f>
        <v>2.2000000000000002</v>
      </c>
      <c r="U6" s="131">
        <f t="shared" si="0"/>
        <v>71.099999999999994</v>
      </c>
      <c r="V6" s="131"/>
      <c r="W6" s="132">
        <v>83000</v>
      </c>
      <c r="X6" s="133">
        <f>W6*F6</f>
        <v>231811.13046354876</v>
      </c>
      <c r="Y6" s="2">
        <v>32</v>
      </c>
      <c r="Z6" s="29">
        <v>3.9067500000000002</v>
      </c>
      <c r="AA6" s="2">
        <v>1.45</v>
      </c>
      <c r="AB6" s="11">
        <f t="shared" ref="AB6:AB8" si="6">AE6/AC6*AD6</f>
        <v>0.55172413793103448</v>
      </c>
      <c r="AC6" s="2">
        <v>1.45</v>
      </c>
      <c r="AD6" s="12">
        <v>1</v>
      </c>
      <c r="AE6" s="2">
        <v>0.8</v>
      </c>
      <c r="AF6" s="2">
        <f t="shared" ref="AF6:AF8" si="7">IF(W6=0,0,W6/U6)</f>
        <v>1167.3699015471168</v>
      </c>
    </row>
    <row r="7" spans="1:32" ht="15.75" x14ac:dyDescent="0.25">
      <c r="A7" s="109" t="s">
        <v>31</v>
      </c>
      <c r="B7" s="13">
        <f t="shared" si="1"/>
        <v>3</v>
      </c>
      <c r="C7" s="20">
        <v>3</v>
      </c>
      <c r="D7" s="23">
        <v>115.58043162018264</v>
      </c>
      <c r="E7" s="23">
        <v>18.899999999999999</v>
      </c>
      <c r="F7" s="26">
        <v>2.7929051863078165</v>
      </c>
      <c r="G7" s="122">
        <f t="shared" si="2"/>
        <v>32.4</v>
      </c>
      <c r="H7" s="122">
        <f>O7/F7</f>
        <v>32.331924636287205</v>
      </c>
      <c r="I7" s="16">
        <v>60</v>
      </c>
      <c r="J7" s="16">
        <f>I7/AA7</f>
        <v>41.379310344827587</v>
      </c>
      <c r="K7" s="16">
        <f>IF(Z7=0,0,IF(AB7=0,0,IF(G7&gt;J7,J7/(Z7*AB7),G7/(Z7*AB7))))</f>
        <v>15.031675945478979</v>
      </c>
      <c r="L7" s="16">
        <f>ROUNDUP(K7,0)</f>
        <v>16</v>
      </c>
      <c r="M7" s="123">
        <v>60</v>
      </c>
      <c r="N7" s="124">
        <f>ROUND(Y7/60*L7+M7/60,2)</f>
        <v>9.5299999999999994</v>
      </c>
      <c r="O7" s="32">
        <f t="shared" si="3"/>
        <v>90.3</v>
      </c>
      <c r="P7" s="131">
        <f t="shared" si="4"/>
        <v>2</v>
      </c>
      <c r="Q7" s="131">
        <f t="shared" si="5"/>
        <v>19.047619047619047</v>
      </c>
      <c r="R7" s="131">
        <v>1</v>
      </c>
      <c r="S7" s="131">
        <f>N7+Q7+R7</f>
        <v>29.577619047619045</v>
      </c>
      <c r="T7" s="131">
        <f>IF(S7=0,0,ROUND(60/S7,1))</f>
        <v>2</v>
      </c>
      <c r="U7" s="131">
        <f>IF(S7=0,0,ROUND(P7*H7,1))</f>
        <v>64.7</v>
      </c>
      <c r="V7" s="131"/>
      <c r="W7" s="132" t="e">
        <f>SUMIFS([1]погрузка!$F$11:$F$71,[1]погрузка!$A$11:$A$71,'[1]расчет самосвалов'!A7,[1]погрузка!$B$11:$B$71,'[1]расчет самосвалов'!C7)</f>
        <v>#VALUE!</v>
      </c>
      <c r="X7" s="133" t="e">
        <f>W7*F7</f>
        <v>#VALUE!</v>
      </c>
      <c r="Y7" s="2">
        <v>32</v>
      </c>
      <c r="Z7" s="29">
        <v>3.9067500000000002</v>
      </c>
      <c r="AA7" s="2">
        <v>1.45</v>
      </c>
      <c r="AB7" s="11">
        <f t="shared" si="6"/>
        <v>0.55172413793103448</v>
      </c>
      <c r="AC7" s="2">
        <v>1.45</v>
      </c>
      <c r="AD7" s="12">
        <v>1</v>
      </c>
      <c r="AE7" s="2">
        <v>0.8</v>
      </c>
      <c r="AF7" s="2" t="e">
        <f>IF(W7=0,0,W7/U7)</f>
        <v>#VALUE!</v>
      </c>
    </row>
    <row r="8" spans="1:32" ht="15.75" x14ac:dyDescent="0.25">
      <c r="A8" s="110" t="s">
        <v>32</v>
      </c>
      <c r="B8" s="14">
        <f t="shared" si="1"/>
        <v>9.1300000000000008</v>
      </c>
      <c r="C8" s="21">
        <v>9.1300000000000008</v>
      </c>
      <c r="D8" s="23">
        <v>60.8</v>
      </c>
      <c r="E8" s="23">
        <v>18.899999999999999</v>
      </c>
      <c r="F8" s="26">
        <v>2</v>
      </c>
      <c r="G8" s="122">
        <f t="shared" si="2"/>
        <v>45.2</v>
      </c>
      <c r="H8" s="122">
        <f>IF(49.6&lt;46.2,ОКРУГЛQ34/#REF!,46.2)</f>
        <v>46.2</v>
      </c>
      <c r="I8" s="16">
        <v>60</v>
      </c>
      <c r="J8" s="16">
        <f>I8/AA8</f>
        <v>41.379310344827587</v>
      </c>
      <c r="K8" s="16">
        <f>IF(Z8=0,0,IF(AB8=0,0,IF(G8&gt;J8,J8/(Z8*AB8),G8/(Z8*AB8))))</f>
        <v>19.197542714532538</v>
      </c>
      <c r="L8" s="16">
        <f t="shared" ref="L8" si="8">ROUNDUP(K8,0)</f>
        <v>20</v>
      </c>
      <c r="M8" s="123">
        <v>60</v>
      </c>
      <c r="N8" s="124">
        <f>ROUND(Y8/60*L8+M8/60,2)</f>
        <v>11.67</v>
      </c>
      <c r="O8" s="32">
        <v>90.3</v>
      </c>
      <c r="P8" s="131">
        <f t="shared" si="4"/>
        <v>0.8</v>
      </c>
      <c r="Q8" s="131">
        <f t="shared" si="5"/>
        <v>57.968253968253983</v>
      </c>
      <c r="R8" s="131">
        <v>1</v>
      </c>
      <c r="S8" s="131">
        <f>N8+Q8+R8</f>
        <v>70.638253968253977</v>
      </c>
      <c r="T8" s="131">
        <f>IF(S8=0,0,ROUND(60/S8,1))</f>
        <v>0.8</v>
      </c>
      <c r="U8" s="131">
        <f>IF(S8=0,0,ROUND(P8*H8,1))</f>
        <v>37</v>
      </c>
      <c r="V8" s="134"/>
      <c r="W8" s="18">
        <f>[1]погрузка!F11</f>
        <v>0</v>
      </c>
      <c r="X8" s="133">
        <f>W8*F8</f>
        <v>0</v>
      </c>
      <c r="Y8" s="2">
        <v>32</v>
      </c>
      <c r="Z8" s="29">
        <v>3.9067500000000002</v>
      </c>
      <c r="AA8" s="2">
        <v>1.45</v>
      </c>
      <c r="AB8" s="11">
        <f t="shared" si="6"/>
        <v>0.55172413793103448</v>
      </c>
      <c r="AC8" s="2">
        <v>1.45</v>
      </c>
      <c r="AD8" s="12">
        <v>1</v>
      </c>
      <c r="AE8" s="2">
        <v>0.8</v>
      </c>
      <c r="AF8" s="2">
        <f t="shared" si="7"/>
        <v>0</v>
      </c>
    </row>
    <row r="10" spans="1:32" ht="16.5" thickBot="1" x14ac:dyDescent="0.3">
      <c r="A10" s="170" t="s">
        <v>35</v>
      </c>
      <c r="B10" s="17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</row>
    <row r="11" spans="1:32" ht="15.75" x14ac:dyDescent="0.25">
      <c r="A11" s="5" t="s">
        <v>28</v>
      </c>
      <c r="B11" s="6"/>
      <c r="C11" s="19"/>
      <c r="D11" s="24"/>
      <c r="E11" s="24"/>
      <c r="F11" s="25"/>
      <c r="G11" s="7"/>
      <c r="H11" s="7"/>
      <c r="I11" s="8"/>
      <c r="J11" s="8"/>
      <c r="K11" s="8"/>
      <c r="L11" s="9"/>
      <c r="M11" s="120"/>
      <c r="N11" s="121"/>
      <c r="O11" s="31">
        <f>$Q$8</f>
        <v>57.968253968253983</v>
      </c>
      <c r="P11" s="10"/>
      <c r="Q11" s="10"/>
      <c r="R11" s="10"/>
      <c r="S11" s="10"/>
      <c r="T11" s="10"/>
      <c r="U11" s="10"/>
      <c r="V11" s="10"/>
      <c r="W11" s="129" t="e">
        <f>W12+W13+W14+W15</f>
        <v>#VALUE!</v>
      </c>
      <c r="X11" s="135" t="e">
        <f>X12+X13+X14+X15</f>
        <v>#VALUE!</v>
      </c>
      <c r="Y11" s="2"/>
      <c r="Z11" s="27"/>
      <c r="AA11" s="2"/>
      <c r="AB11" s="2"/>
      <c r="AC11" s="2"/>
      <c r="AD11" s="2"/>
      <c r="AE11" s="2"/>
    </row>
    <row r="12" spans="1:32" ht="15.75" x14ac:dyDescent="0.25">
      <c r="A12" s="109" t="s">
        <v>29</v>
      </c>
      <c r="B12" s="13">
        <v>2</v>
      </c>
      <c r="C12" s="23">
        <v>2</v>
      </c>
      <c r="D12" s="23">
        <f>$F$9</f>
        <v>0</v>
      </c>
      <c r="E12" s="23">
        <v>20</v>
      </c>
      <c r="F12" s="26">
        <v>1.9981489855158836</v>
      </c>
      <c r="G12" s="122">
        <f>IF(F12=0,0,ROUND(O12/F12,1))</f>
        <v>45.2</v>
      </c>
      <c r="H12" s="122">
        <f>I12/AA12</f>
        <v>46.153846153846153</v>
      </c>
      <c r="I12" s="16">
        <v>60</v>
      </c>
      <c r="J12" s="16">
        <f>I12/AA12</f>
        <v>46.153846153846153</v>
      </c>
      <c r="K12" s="16">
        <f>IF(Z12=0,0,IF(AB12=0,0,IF(H12&gt;J12,J12/(Z12*AB12),H12/(Z12*AB12))))</f>
        <v>7.2115384615384608</v>
      </c>
      <c r="L12" s="16">
        <f>ROUNDUP(K12,0)</f>
        <v>8</v>
      </c>
      <c r="M12" s="123">
        <v>60</v>
      </c>
      <c r="N12" s="124">
        <f>ROUND(Y12/60*L12+M12/60,2)</f>
        <v>4.47</v>
      </c>
      <c r="O12" s="32">
        <v>90.3</v>
      </c>
      <c r="P12" s="131">
        <f>IF(G12=0,0,ROUND(60/S12,1))</f>
        <v>3.4</v>
      </c>
      <c r="Q12" s="131">
        <f>60*2*C12/E12</f>
        <v>12</v>
      </c>
      <c r="R12" s="131">
        <v>1</v>
      </c>
      <c r="S12" s="131">
        <f>N12+Q12+R12</f>
        <v>17.47</v>
      </c>
      <c r="T12" s="131">
        <f>IF(S12=0,0,ROUND(60/S12,1))</f>
        <v>3.4</v>
      </c>
      <c r="U12" s="131">
        <f t="shared" ref="U12:U14" si="9">IF(S12=0,0,ROUND(P12*H12,1))</f>
        <v>156.9</v>
      </c>
      <c r="V12" s="131" t="e">
        <f>(U12*W12+U13*W13+U14*W14)/W11</f>
        <v>#VALUE!</v>
      </c>
      <c r="W12" s="132" t="e">
        <f>SUMIFS([1]погрузка!$F$11:$F$71,[1]погрузка!$A$11:$A$71,'[1]расчет самосвалов'!#REF!,[1]погрузка!$B$11:$B$71,'[1]расчет самосвалов'!A12)</f>
        <v>#VALUE!</v>
      </c>
      <c r="X12" s="18" t="e">
        <f>W12*F12</f>
        <v>#VALUE!</v>
      </c>
      <c r="Y12" s="2">
        <v>26</v>
      </c>
      <c r="Z12" s="27">
        <v>10.4</v>
      </c>
      <c r="AA12" s="2">
        <v>1.3</v>
      </c>
      <c r="AB12" s="11">
        <f>AE12/AC12*AD12</f>
        <v>0.61538461538461542</v>
      </c>
      <c r="AC12" s="2">
        <v>1.3</v>
      </c>
      <c r="AD12" s="12">
        <v>1</v>
      </c>
      <c r="AE12" s="2">
        <v>0.8</v>
      </c>
    </row>
    <row r="13" spans="1:32" ht="15.75" x14ac:dyDescent="0.25">
      <c r="A13" s="109" t="s">
        <v>30</v>
      </c>
      <c r="B13" s="13">
        <v>2.7</v>
      </c>
      <c r="C13" s="23">
        <v>2.7</v>
      </c>
      <c r="D13" s="23">
        <f>$F$10</f>
        <v>0</v>
      </c>
      <c r="E13" s="23">
        <v>18.899999999999999</v>
      </c>
      <c r="F13" s="26">
        <v>2.7929051863078165</v>
      </c>
      <c r="G13" s="122">
        <f t="shared" ref="G13:G14" si="10">IF(F13=0,0,ROUNDUP(O13/F13,1))</f>
        <v>32.4</v>
      </c>
      <c r="H13" s="122">
        <f>O13/F13</f>
        <v>32.331924636287205</v>
      </c>
      <c r="I13" s="16">
        <v>60</v>
      </c>
      <c r="J13" s="16">
        <f>I13/AA13</f>
        <v>41.379310344827587</v>
      </c>
      <c r="K13" s="16">
        <f>IF(Z13=0,0,IF(AB13=0,0,IF(H13&gt;J13,J13/(Z13*AB13),H13/(Z13*AB13))))</f>
        <v>5.6347705195452464</v>
      </c>
      <c r="L13" s="16">
        <f>ROUNDUP(K13,0)</f>
        <v>6</v>
      </c>
      <c r="M13" s="123">
        <v>60</v>
      </c>
      <c r="N13" s="124">
        <f>ROUND(Y13/60*L13+M13/60,2)</f>
        <v>4.2</v>
      </c>
      <c r="O13" s="32">
        <f>O12</f>
        <v>90.3</v>
      </c>
      <c r="P13" s="136">
        <f>IF(G13=0,0,ROUND(60/S13,1))</f>
        <v>2.7</v>
      </c>
      <c r="Q13" s="131">
        <f t="shared" ref="Q13:Q14" si="11">60*2*C13/E13</f>
        <v>17.142857142857146</v>
      </c>
      <c r="R13" s="131">
        <v>1</v>
      </c>
      <c r="S13" s="131">
        <f>N13+Q13+R13</f>
        <v>22.342857142857145</v>
      </c>
      <c r="T13" s="131">
        <f>IF(S13=0,0,ROUND(60/S13,1))</f>
        <v>2.7</v>
      </c>
      <c r="U13" s="131">
        <f t="shared" si="9"/>
        <v>87.3</v>
      </c>
      <c r="V13" s="131"/>
      <c r="W13" s="132" t="e">
        <f>SUMIFS([1]погрузка!$F$11:$F$71,[1]погрузка!$A$11:$A$71,'[1]расчет самосвалов'!#REF!,[1]погрузка!$B$11:$B$71,'[1]расчет самосвалов'!A13)</f>
        <v>#VALUE!</v>
      </c>
      <c r="X13" s="18" t="e">
        <f>W13*F13</f>
        <v>#VALUE!</v>
      </c>
      <c r="Y13" s="2">
        <v>32</v>
      </c>
      <c r="Z13" s="27">
        <v>10.4</v>
      </c>
      <c r="AA13" s="2">
        <v>1.45</v>
      </c>
      <c r="AB13" s="11">
        <f t="shared" ref="AB13:AB14" si="12">AE13/AC13*AD13</f>
        <v>0.55172413793103448</v>
      </c>
      <c r="AC13" s="2">
        <v>1.45</v>
      </c>
      <c r="AD13" s="12">
        <v>1</v>
      </c>
      <c r="AE13" s="2">
        <v>0.8</v>
      </c>
    </row>
    <row r="14" spans="1:32" ht="15.75" x14ac:dyDescent="0.25">
      <c r="A14" s="109" t="s">
        <v>31</v>
      </c>
      <c r="B14" s="13">
        <v>3</v>
      </c>
      <c r="C14" s="23">
        <v>3</v>
      </c>
      <c r="D14" s="23"/>
      <c r="E14" s="23">
        <v>18.899999999999999</v>
      </c>
      <c r="F14" s="26">
        <v>2.7929051863078165</v>
      </c>
      <c r="G14" s="122">
        <f t="shared" si="10"/>
        <v>32.4</v>
      </c>
      <c r="H14" s="122">
        <f>O14/F14</f>
        <v>32.331924636287205</v>
      </c>
      <c r="I14" s="16">
        <v>60</v>
      </c>
      <c r="J14" s="16">
        <f>I14/AA14</f>
        <v>41.379310344827587</v>
      </c>
      <c r="K14" s="16">
        <f>IF(Z14=0,0,IF(AB14=0,0,IF(H14&gt;J14,J14/(Z14*AB14),H14/(Z14*AB14))))</f>
        <v>5.6347705195452464</v>
      </c>
      <c r="L14" s="16">
        <f t="shared" ref="L14" si="13">ROUNDUP(K14,0)</f>
        <v>6</v>
      </c>
      <c r="M14" s="123">
        <v>60</v>
      </c>
      <c r="N14" s="124">
        <f>ROUND(Y14/60*L14+M14/60,2)</f>
        <v>4.2</v>
      </c>
      <c r="O14" s="32">
        <f>O13</f>
        <v>90.3</v>
      </c>
      <c r="P14" s="131">
        <f t="shared" ref="P14" si="14">IF(G14=0,0,ROUND(60/S14,1))</f>
        <v>2.5</v>
      </c>
      <c r="Q14" s="131">
        <f t="shared" si="11"/>
        <v>19.047619047619047</v>
      </c>
      <c r="R14" s="131">
        <v>1</v>
      </c>
      <c r="S14" s="131">
        <f>N14+Q14+R14</f>
        <v>24.247619047619047</v>
      </c>
      <c r="T14" s="131">
        <f>IF(S14=0,0,ROUND(60/S14,1))</f>
        <v>2.5</v>
      </c>
      <c r="U14" s="131">
        <f t="shared" si="9"/>
        <v>80.8</v>
      </c>
      <c r="V14" s="131"/>
      <c r="W14" s="132" t="e">
        <f>SUMIFS([1]погрузка!$F$11:$F$71,[1]погрузка!$A$11:$A$71,'[1]расчет самосвалов'!#REF!,[1]погрузка!$B$11:$B$71,'[1]расчет самосвалов'!A14)</f>
        <v>#VALUE!</v>
      </c>
      <c r="X14" s="18" t="e">
        <f>W14*F14</f>
        <v>#VALUE!</v>
      </c>
      <c r="Y14" s="2">
        <v>32</v>
      </c>
      <c r="Z14" s="27">
        <v>10.4</v>
      </c>
      <c r="AA14" s="2">
        <v>1.45</v>
      </c>
      <c r="AB14" s="11">
        <f t="shared" si="12"/>
        <v>0.55172413793103448</v>
      </c>
      <c r="AC14" s="2">
        <v>1.45</v>
      </c>
      <c r="AD14" s="12">
        <v>1</v>
      </c>
      <c r="AE14" s="2">
        <v>0.8</v>
      </c>
    </row>
    <row r="15" spans="1:32" ht="15.75" x14ac:dyDescent="0.25">
      <c r="A15" s="110" t="s">
        <v>32</v>
      </c>
      <c r="B15" s="14">
        <v>9.1300000000000008</v>
      </c>
      <c r="C15" s="21">
        <v>9.1300000000000008</v>
      </c>
      <c r="E15" s="23">
        <v>18.899999999999999</v>
      </c>
      <c r="F15" s="26">
        <v>2</v>
      </c>
    </row>
    <row r="17" spans="1:32" ht="16.5" thickBot="1" x14ac:dyDescent="0.3">
      <c r="A17" s="170" t="s">
        <v>36</v>
      </c>
      <c r="B17" s="171"/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</row>
    <row r="18" spans="1:32" ht="15.75" x14ac:dyDescent="0.25">
      <c r="A18" s="5" t="s">
        <v>28</v>
      </c>
      <c r="B18" s="6"/>
      <c r="C18" s="19"/>
      <c r="D18" s="24"/>
      <c r="E18" s="24"/>
      <c r="F18" s="25"/>
      <c r="G18" s="7"/>
      <c r="H18" s="7"/>
      <c r="I18" s="8"/>
      <c r="J18" s="8"/>
      <c r="K18" s="8"/>
      <c r="L18" s="9"/>
      <c r="M18" s="120"/>
      <c r="N18" s="121"/>
      <c r="O18" s="31"/>
      <c r="P18" s="10"/>
      <c r="Q18" s="10"/>
      <c r="R18" s="10"/>
      <c r="S18" s="10"/>
      <c r="T18" s="10"/>
      <c r="U18" s="10"/>
      <c r="V18" s="10"/>
      <c r="W18" s="129" t="e">
        <f>W19+W20+W21+W22</f>
        <v>#VALUE!</v>
      </c>
      <c r="X18" s="135" t="e">
        <f>X19+X20+X21+X22</f>
        <v>#VALUE!</v>
      </c>
      <c r="Y18" s="2"/>
      <c r="Z18" s="27"/>
      <c r="AA18" s="2"/>
      <c r="AB18" s="2"/>
      <c r="AC18" s="2"/>
      <c r="AD18" s="2"/>
      <c r="AE18" s="2"/>
      <c r="AF18" s="2"/>
    </row>
    <row r="19" spans="1:32" ht="15.75" x14ac:dyDescent="0.25">
      <c r="A19" s="109" t="s">
        <v>29</v>
      </c>
      <c r="B19" s="13">
        <v>2</v>
      </c>
      <c r="C19" s="23">
        <v>2</v>
      </c>
      <c r="D19" s="23">
        <f>$F$9</f>
        <v>0</v>
      </c>
      <c r="E19" s="23">
        <v>20</v>
      </c>
      <c r="F19" s="26">
        <v>1.9981489855158836</v>
      </c>
      <c r="G19" s="122">
        <f>IF(F19=0,0,ROUNDUP(O19/F19,1))</f>
        <v>45.2</v>
      </c>
      <c r="H19" s="122">
        <f>I19/AA19</f>
        <v>46.153846153846153</v>
      </c>
      <c r="I19" s="16">
        <v>60</v>
      </c>
      <c r="J19" s="16">
        <f>I19/AA19</f>
        <v>46.153846153846153</v>
      </c>
      <c r="K19" s="16">
        <f>IF(Z19=0,0,IF(AB19=0,0,IF(G19&gt;J19,J19/(Z19*AB19),G19/(Z19*AB19))))</f>
        <v>7.5776333436500565</v>
      </c>
      <c r="L19" s="16">
        <f>ROUNDUP(K19,0)</f>
        <v>8</v>
      </c>
      <c r="M19" s="123">
        <v>60</v>
      </c>
      <c r="N19" s="124">
        <f>ROUND(Y19/60*L19+M19/60,2)</f>
        <v>4.47</v>
      </c>
      <c r="O19" s="32">
        <v>90.3</v>
      </c>
      <c r="P19" s="131">
        <f>IF(G19=0,0,ROUND(60/S19,1))</f>
        <v>3.4</v>
      </c>
      <c r="Q19" s="131">
        <f>60*2*C19/E19</f>
        <v>12</v>
      </c>
      <c r="R19" s="131">
        <v>1</v>
      </c>
      <c r="S19" s="131">
        <f>N19+Q19+R19</f>
        <v>17.47</v>
      </c>
      <c r="T19" s="131">
        <f>IF(S19=0,0,ROUND(60/S19,1))</f>
        <v>3.4</v>
      </c>
      <c r="U19" s="131">
        <f>ROUND(P19*H19,1)</f>
        <v>156.9</v>
      </c>
      <c r="V19" s="131" t="e">
        <f>(U19*W19+U20*W20+U21*W21)/(W18-W22)</f>
        <v>#VALUE!</v>
      </c>
      <c r="W19" s="132" t="e">
        <f>SUMIFS([1]погрузка!$F$11:$F$71,[1]погрузка!$A$11:$A$71,'[1]расчет самосвалов'!#REF!,[1]погрузка!$B$11:$B$71,'[1]расчет самосвалов'!A19)</f>
        <v>#VALUE!</v>
      </c>
      <c r="X19" s="18" t="e">
        <f>W19*F19</f>
        <v>#VALUE!</v>
      </c>
      <c r="Y19" s="2">
        <v>26</v>
      </c>
      <c r="Z19" s="27">
        <v>9.6929999999999996</v>
      </c>
      <c r="AA19" s="2">
        <v>1.3</v>
      </c>
      <c r="AB19" s="11">
        <f>AE19/AC19*AD19</f>
        <v>0.61538461538461542</v>
      </c>
      <c r="AC19" s="2">
        <v>1.3</v>
      </c>
      <c r="AD19" s="12">
        <v>1</v>
      </c>
      <c r="AE19" s="2">
        <v>0.8</v>
      </c>
      <c r="AF19" s="2" t="e">
        <f>IF(W19=0,0,W19/U19)</f>
        <v>#VALUE!</v>
      </c>
    </row>
    <row r="20" spans="1:32" ht="15.75" x14ac:dyDescent="0.25">
      <c r="A20" s="109" t="s">
        <v>30</v>
      </c>
      <c r="B20" s="13">
        <v>2.7</v>
      </c>
      <c r="C20" s="23">
        <v>2.7</v>
      </c>
      <c r="D20" s="23">
        <f>$F$10</f>
        <v>0</v>
      </c>
      <c r="E20" s="23">
        <v>18.899999999999999</v>
      </c>
      <c r="F20" s="26">
        <v>2.7929051863078165</v>
      </c>
      <c r="G20" s="122">
        <f>IF(F20=0,0,ROUNDUP(O20/F20,1))</f>
        <v>32.4</v>
      </c>
      <c r="H20" s="122">
        <f>O20/F20</f>
        <v>32.331924636287205</v>
      </c>
      <c r="I20" s="16">
        <v>60</v>
      </c>
      <c r="J20" s="16">
        <f>I20/AA20</f>
        <v>41.379310344827587</v>
      </c>
      <c r="K20" s="16">
        <f>IF(Z20=0,0,IF(AB20=0,0,IF(G20&gt;J20,J20/(Z20*AB20),G20/(Z20*AB20))))</f>
        <v>6.0584958217270195</v>
      </c>
      <c r="L20" s="16">
        <f t="shared" ref="L20:L21" si="15">ROUNDUP(K20,0)</f>
        <v>7</v>
      </c>
      <c r="M20" s="123">
        <v>60</v>
      </c>
      <c r="N20" s="124">
        <f>ROUND(Y20/60*L20+M20/60,2)</f>
        <v>4.7300000000000004</v>
      </c>
      <c r="O20" s="32">
        <f>O19</f>
        <v>90.3</v>
      </c>
      <c r="P20" s="131">
        <f t="shared" ref="P20:P21" si="16">IF(G20=0,0,ROUND(60/S20,1))</f>
        <v>2.6</v>
      </c>
      <c r="Q20" s="131">
        <f t="shared" ref="Q20:Q21" si="17">60*2*C20/E20</f>
        <v>17.142857142857146</v>
      </c>
      <c r="R20" s="131">
        <v>1</v>
      </c>
      <c r="S20" s="131">
        <f>N20+Q20+R20</f>
        <v>22.872857142857146</v>
      </c>
      <c r="T20" s="131">
        <f>IF(S20=0,0,ROUND(60/S20,1))</f>
        <v>2.6</v>
      </c>
      <c r="U20" s="131">
        <f>ROUND(P20*H20,1)</f>
        <v>84.1</v>
      </c>
      <c r="V20" s="131"/>
      <c r="W20" s="132" t="e">
        <f>SUMIFS([1]погрузка!$F$11:$F$71,[1]погрузка!$A$11:$A$71,'[1]расчет самосвалов'!#REF!,[1]погрузка!$B$11:$B$71,'[1]расчет самосвалов'!A20)</f>
        <v>#VALUE!</v>
      </c>
      <c r="X20" s="18" t="e">
        <f>W20*F20</f>
        <v>#VALUE!</v>
      </c>
      <c r="Y20" s="2">
        <v>32</v>
      </c>
      <c r="Z20" s="27">
        <v>9.6929999999999996</v>
      </c>
      <c r="AA20" s="2">
        <v>1.45</v>
      </c>
      <c r="AB20" s="11">
        <f t="shared" ref="AB20:AB21" si="18">AE20/AC20*AD20</f>
        <v>0.55172413793103448</v>
      </c>
      <c r="AC20" s="2">
        <v>1.45</v>
      </c>
      <c r="AD20" s="12">
        <v>1</v>
      </c>
      <c r="AE20" s="2">
        <v>0.8</v>
      </c>
      <c r="AF20" s="2" t="e">
        <f t="shared" ref="AF20:AF21" si="19">IF(W20=0,0,W20/U20)</f>
        <v>#VALUE!</v>
      </c>
    </row>
    <row r="21" spans="1:32" ht="15.75" x14ac:dyDescent="0.25">
      <c r="A21" s="109" t="s">
        <v>31</v>
      </c>
      <c r="B21" s="13">
        <v>3</v>
      </c>
      <c r="C21" s="23">
        <v>3</v>
      </c>
      <c r="D21" s="23">
        <f>$F$11</f>
        <v>0</v>
      </c>
      <c r="E21" s="23">
        <v>18.899999999999999</v>
      </c>
      <c r="F21" s="26">
        <v>2.7929051863078165</v>
      </c>
      <c r="G21" s="122">
        <f t="shared" ref="G21" si="20">IF(F21=0,0,ROUNDUP(O21/F21,1))</f>
        <v>32.4</v>
      </c>
      <c r="H21" s="122">
        <f>O21/F21</f>
        <v>32.331924636287205</v>
      </c>
      <c r="I21" s="16">
        <v>60</v>
      </c>
      <c r="J21" s="16">
        <f>I21/AA21</f>
        <v>41.379310344827587</v>
      </c>
      <c r="K21" s="16">
        <f>IF(Z21=0,0,IF(AB21=0,0,IF(G21&gt;J21,J21/(Z21*AB21),G21/(Z21*AB21))))</f>
        <v>6.0584958217270195</v>
      </c>
      <c r="L21" s="16">
        <f t="shared" si="15"/>
        <v>7</v>
      </c>
      <c r="M21" s="123">
        <v>60</v>
      </c>
      <c r="N21" s="124">
        <f>ROUND(Y21/60*L21+M21/60,2)</f>
        <v>4.7300000000000004</v>
      </c>
      <c r="O21" s="32">
        <f>O20</f>
        <v>90.3</v>
      </c>
      <c r="P21" s="131">
        <f t="shared" si="16"/>
        <v>2.4</v>
      </c>
      <c r="Q21" s="131">
        <f t="shared" si="17"/>
        <v>19.047619047619047</v>
      </c>
      <c r="R21" s="131">
        <v>1</v>
      </c>
      <c r="S21" s="131">
        <f t="shared" ref="S21" si="21">N21+Q21+R21</f>
        <v>24.777619047619048</v>
      </c>
      <c r="T21" s="131">
        <f>IF(S21=0,0,ROUND(60/S21,1))</f>
        <v>2.4</v>
      </c>
      <c r="U21" s="131">
        <f>ROUND(P21*H21,1)</f>
        <v>77.599999999999994</v>
      </c>
      <c r="V21" s="131"/>
      <c r="W21" s="132" t="e">
        <f>SUMIFS([1]погрузка!$F$11:$F$71,[1]погрузка!$A$11:$A$71,'[1]расчет самосвалов'!#REF!,[1]погрузка!$B$11:$B$71,'[1]расчет самосвалов'!A21)</f>
        <v>#VALUE!</v>
      </c>
      <c r="X21" s="18" t="e">
        <f>W21*F21</f>
        <v>#VALUE!</v>
      </c>
      <c r="Y21" s="2">
        <v>32</v>
      </c>
      <c r="Z21" s="27">
        <v>9.6929999999999996</v>
      </c>
      <c r="AA21" s="2">
        <v>1.45</v>
      </c>
      <c r="AB21" s="11">
        <f t="shared" si="18"/>
        <v>0.55172413793103448</v>
      </c>
      <c r="AC21" s="2">
        <v>1.45</v>
      </c>
      <c r="AD21" s="12">
        <v>1</v>
      </c>
      <c r="AE21" s="2">
        <v>0.8</v>
      </c>
      <c r="AF21" s="2" t="e">
        <f t="shared" si="19"/>
        <v>#VALUE!</v>
      </c>
    </row>
    <row r="23" spans="1:32" ht="15.75" thickBot="1" x14ac:dyDescent="0.3">
      <c r="A23" s="169" t="s">
        <v>39</v>
      </c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</row>
    <row r="24" spans="1:32" ht="15.75" x14ac:dyDescent="0.25">
      <c r="A24" s="5" t="s">
        <v>28</v>
      </c>
      <c r="B24" s="6"/>
      <c r="C24" s="19"/>
      <c r="D24" s="24"/>
      <c r="E24" s="24"/>
      <c r="F24" s="25"/>
      <c r="G24" s="7"/>
      <c r="H24" s="7"/>
      <c r="I24" s="8"/>
      <c r="J24" s="8"/>
      <c r="K24" s="8"/>
      <c r="L24" s="9"/>
      <c r="M24" s="120"/>
      <c r="N24" s="121"/>
      <c r="O24" s="31"/>
      <c r="P24" s="10"/>
      <c r="Q24" s="10"/>
      <c r="R24" s="10"/>
      <c r="S24" s="10"/>
      <c r="T24" s="10"/>
      <c r="U24" s="10"/>
      <c r="V24" s="10"/>
      <c r="W24" s="129" t="e">
        <f>W25+W26+W27+W28</f>
        <v>#VALUE!</v>
      </c>
      <c r="X24" s="135" t="e">
        <f>X25+X26+X27+X28</f>
        <v>#VALUE!</v>
      </c>
      <c r="Y24" s="2"/>
      <c r="Z24" s="27"/>
      <c r="AA24" s="2"/>
      <c r="AB24" s="2"/>
      <c r="AC24" s="2"/>
      <c r="AD24" s="2"/>
      <c r="AE24" s="2"/>
      <c r="AF24" s="2"/>
    </row>
    <row r="25" spans="1:32" ht="15.75" x14ac:dyDescent="0.25">
      <c r="A25" s="109" t="s">
        <v>29</v>
      </c>
      <c r="B25" s="13">
        <v>2</v>
      </c>
      <c r="C25" s="23">
        <v>2</v>
      </c>
      <c r="D25" s="23">
        <f>$F$9</f>
        <v>0</v>
      </c>
      <c r="E25" s="23">
        <v>20</v>
      </c>
      <c r="F25" s="26">
        <v>1.9981489855158836</v>
      </c>
      <c r="G25" s="122">
        <f>IF(F25=0,0,ROUNDUP(O25/F25,1))</f>
        <v>45.2</v>
      </c>
      <c r="H25" s="122">
        <f>I25/AA25</f>
        <v>46.153846153846153</v>
      </c>
      <c r="I25" s="16">
        <v>60</v>
      </c>
      <c r="J25" s="16">
        <f>I25/AA25</f>
        <v>46.153846153846153</v>
      </c>
      <c r="K25" s="16">
        <f>IF(Z25=0,0,IF(AB25=0,0,IF(G25&gt;J25,J25/(Z25*AB25),G25/(Z25*AB25))))</f>
        <v>8.3352246935996366</v>
      </c>
      <c r="L25" s="16">
        <f>ROUNDUP(K25,0)</f>
        <v>9</v>
      </c>
      <c r="M25" s="123">
        <v>60</v>
      </c>
      <c r="N25" s="124">
        <f>ROUND(Y25/60*L25+M25/60,2)</f>
        <v>7.6</v>
      </c>
      <c r="O25" s="32">
        <v>90.3</v>
      </c>
      <c r="P25" s="131">
        <f>IF(G25=0,0,ROUND(60/S25,1))</f>
        <v>2.9</v>
      </c>
      <c r="Q25" s="131">
        <f>60*2*C25/E25</f>
        <v>12</v>
      </c>
      <c r="R25" s="131">
        <v>1</v>
      </c>
      <c r="S25" s="131">
        <f>N25+Q25+R25</f>
        <v>20.6</v>
      </c>
      <c r="T25" s="131">
        <f>IF(S25=0,0,ROUND(60/S25,1))</f>
        <v>2.9</v>
      </c>
      <c r="U25" s="131">
        <f t="shared" ref="U25:U28" si="22">ROUND(P25*H25,1)</f>
        <v>133.80000000000001</v>
      </c>
      <c r="V25" s="131" t="e">
        <f>(U25*W25+U26*W26+U27*W27+U28*W28)/W24</f>
        <v>#VALUE!</v>
      </c>
      <c r="W25" s="132" t="e">
        <f>SUMIFS([1]погрузка!$F$11:$F$71,[1]погрузка!$A$11:$A$71,'[1]расчет самосвалов'!#REF!,[1]погрузка!$B$11:$B$71,'[1]расчет самосвалов'!A25)</f>
        <v>#VALUE!</v>
      </c>
      <c r="X25" s="18" t="e">
        <f>W25*F25</f>
        <v>#VALUE!</v>
      </c>
      <c r="Y25" s="2">
        <v>44</v>
      </c>
      <c r="Z25" s="30">
        <v>8.8119999999999994</v>
      </c>
      <c r="AA25" s="2">
        <v>1.3</v>
      </c>
      <c r="AB25" s="11">
        <v>0.61538461538461542</v>
      </c>
      <c r="AC25" s="2">
        <v>1.45</v>
      </c>
      <c r="AD25" s="12">
        <v>1</v>
      </c>
      <c r="AE25" s="2">
        <v>0.8</v>
      </c>
      <c r="AF25" s="2" t="e">
        <f>IF(W25=0,0,W25/U25)</f>
        <v>#VALUE!</v>
      </c>
    </row>
    <row r="26" spans="1:32" ht="15.75" x14ac:dyDescent="0.25">
      <c r="A26" s="109" t="s">
        <v>30</v>
      </c>
      <c r="B26" s="13">
        <v>2.7</v>
      </c>
      <c r="C26" s="23">
        <v>2.7</v>
      </c>
      <c r="D26" s="23">
        <f>$F$10</f>
        <v>0</v>
      </c>
      <c r="E26" s="23">
        <v>18.899999999999999</v>
      </c>
      <c r="F26" s="26">
        <v>2.7929051863078165</v>
      </c>
      <c r="G26" s="122">
        <f t="shared" ref="G26" si="23">IF(F26=0,0,ROUNDUP(O26/F26,1))</f>
        <v>32.4</v>
      </c>
      <c r="H26" s="122">
        <f>O26/F26</f>
        <v>32.331924636287205</v>
      </c>
      <c r="I26" s="16">
        <v>60</v>
      </c>
      <c r="J26" s="16">
        <f>I26/AA26</f>
        <v>41.379310344827587</v>
      </c>
      <c r="K26" s="16">
        <f>IF(Z26=0,0,IF(AB26=0,0,IF(G26&gt;J26,J26/(Z26*AB26),G26/(Z26*AB26))))</f>
        <v>6.6642078983204724</v>
      </c>
      <c r="L26" s="16">
        <f t="shared" ref="L26:L28" si="24">ROUNDUP(K26,0)</f>
        <v>7</v>
      </c>
      <c r="M26" s="123">
        <v>60</v>
      </c>
      <c r="N26" s="124">
        <f>ROUND(Y26/60*L26+M26/60,2)</f>
        <v>6.13</v>
      </c>
      <c r="O26" s="32">
        <f>O25</f>
        <v>90.3</v>
      </c>
      <c r="P26" s="131">
        <f>IF(G26=0,0,ROUND(60/S26,1))</f>
        <v>2.5</v>
      </c>
      <c r="Q26" s="131">
        <f>60*2*C26/E26</f>
        <v>17.142857142857146</v>
      </c>
      <c r="R26" s="131">
        <v>1</v>
      </c>
      <c r="S26" s="131">
        <f>N26+Q26+R26</f>
        <v>24.272857142857145</v>
      </c>
      <c r="T26" s="131">
        <f>IF(S26=0,0,ROUND(60/S26,1))</f>
        <v>2.5</v>
      </c>
      <c r="U26" s="131">
        <f t="shared" si="22"/>
        <v>80.8</v>
      </c>
      <c r="V26" s="131"/>
      <c r="W26" s="132" t="e">
        <f>SUMIFS([1]погрузка!$F$11:$F$71,[1]погрузка!$A$11:$A$71,'[1]расчет самосвалов'!#REF!,[1]погрузка!$B$11:$B$71,'[1]расчет самосвалов'!A26)</f>
        <v>#VALUE!</v>
      </c>
      <c r="X26" s="18" t="e">
        <f>W26*F26</f>
        <v>#VALUE!</v>
      </c>
      <c r="Y26" s="2">
        <v>44</v>
      </c>
      <c r="Z26" s="30">
        <v>8.8119999999999994</v>
      </c>
      <c r="AA26" s="2">
        <v>1.45</v>
      </c>
      <c r="AB26" s="11">
        <f t="shared" ref="AB26:AB28" si="25">AE26/AC26*AD26</f>
        <v>0.55172413793103448</v>
      </c>
      <c r="AC26" s="2">
        <v>1.45</v>
      </c>
      <c r="AD26" s="12">
        <v>1</v>
      </c>
      <c r="AE26" s="2">
        <v>0.8</v>
      </c>
      <c r="AF26" s="2" t="e">
        <f t="shared" ref="AF26:AF28" si="26">IF(W26=0,0,W26/U26)</f>
        <v>#VALUE!</v>
      </c>
    </row>
    <row r="27" spans="1:32" ht="15.75" x14ac:dyDescent="0.25">
      <c r="A27" s="109" t="s">
        <v>37</v>
      </c>
      <c r="B27" s="13">
        <v>3</v>
      </c>
      <c r="C27" s="23">
        <v>3</v>
      </c>
      <c r="D27" s="23">
        <f>$F$11</f>
        <v>0</v>
      </c>
      <c r="E27" s="23">
        <v>18.899999999999999</v>
      </c>
      <c r="F27" s="26">
        <v>2.7929051863078165</v>
      </c>
      <c r="G27" s="122">
        <f>IF(F27=0,0,ROUNDUP(O27/F27,1))</f>
        <v>32.4</v>
      </c>
      <c r="H27" s="122">
        <f>O27/F27</f>
        <v>32.331924636287205</v>
      </c>
      <c r="I27" s="16">
        <v>60</v>
      </c>
      <c r="J27" s="16">
        <f>I27/AA27</f>
        <v>41.379310344827587</v>
      </c>
      <c r="K27" s="16">
        <f>IF(Z27=0,0,IF(AB27=0,0,IF(G27&gt;J27,J27/(Z27*AB27),G27/(Z27*AB27))))</f>
        <v>6.6642078983204724</v>
      </c>
      <c r="L27" s="16">
        <f t="shared" si="24"/>
        <v>7</v>
      </c>
      <c r="M27" s="123">
        <v>60</v>
      </c>
      <c r="N27" s="124">
        <f>ROUND(Y27/60*L27+M27/60,2)</f>
        <v>6.13</v>
      </c>
      <c r="O27" s="32">
        <f>O26</f>
        <v>90.3</v>
      </c>
      <c r="P27" s="131">
        <f>IF(G27=0,0,ROUND(60/S27,1))</f>
        <v>2.2999999999999998</v>
      </c>
      <c r="Q27" s="131">
        <f>60*2*C27/E27</f>
        <v>19.047619047619047</v>
      </c>
      <c r="R27" s="131">
        <v>1</v>
      </c>
      <c r="S27" s="131">
        <f>N27+Q27+R27</f>
        <v>26.177619047619046</v>
      </c>
      <c r="T27" s="131">
        <f>IF(S27=0,0,ROUND(60/S27,1))</f>
        <v>2.2999999999999998</v>
      </c>
      <c r="U27" s="131">
        <f t="shared" si="22"/>
        <v>74.400000000000006</v>
      </c>
      <c r="V27" s="131"/>
      <c r="W27" s="132" t="e">
        <f>SUMIFS([1]погрузка!$F$11:$F$71,[1]погрузка!$A$11:$A$71,'[1]расчет самосвалов'!#REF!,[1]погрузка!$B$11:$B$71,'[1]расчет самосвалов'!A27)</f>
        <v>#VALUE!</v>
      </c>
      <c r="X27" s="18" t="e">
        <f>W27*F27</f>
        <v>#VALUE!</v>
      </c>
      <c r="Y27" s="2">
        <v>44</v>
      </c>
      <c r="Z27" s="30">
        <v>8.8119999999999994</v>
      </c>
      <c r="AA27" s="2">
        <v>1.45</v>
      </c>
      <c r="AB27" s="11">
        <f t="shared" si="25"/>
        <v>0.55172413793103448</v>
      </c>
      <c r="AC27" s="2">
        <v>1.45</v>
      </c>
      <c r="AD27" s="12">
        <v>1</v>
      </c>
      <c r="AE27" s="2">
        <v>0.8</v>
      </c>
      <c r="AF27" s="2" t="e">
        <f t="shared" si="26"/>
        <v>#VALUE!</v>
      </c>
    </row>
    <row r="28" spans="1:32" ht="15.75" x14ac:dyDescent="0.25">
      <c r="A28" s="110" t="s">
        <v>38</v>
      </c>
      <c r="B28" s="14">
        <f t="shared" ref="B28" si="27">C28</f>
        <v>2</v>
      </c>
      <c r="C28" s="21">
        <v>2</v>
      </c>
      <c r="D28" s="23">
        <f>$F$12</f>
        <v>1.9981489855158836</v>
      </c>
      <c r="E28" s="23">
        <v>18.899999999999999</v>
      </c>
      <c r="F28" s="26">
        <v>1.8</v>
      </c>
      <c r="G28" s="122">
        <f>IF(F28=0,0,ROUNDUP(O28/F28,1))</f>
        <v>50.2</v>
      </c>
      <c r="H28" s="122">
        <f>IF(49.6&lt;46.2,ОКРУГЛQ34/F17,46.2)</f>
        <v>46.2</v>
      </c>
      <c r="I28" s="16">
        <v>60</v>
      </c>
      <c r="J28" s="16">
        <f>I28/AA28</f>
        <v>41.379310344827587</v>
      </c>
      <c r="K28" s="16">
        <f>IF(Z28=0,0,IF(AB28=0,0,IF(G28&gt;J28,J28/(Z28*AB28),G28/(Z28*AB28))))</f>
        <v>8.5111211983658652</v>
      </c>
      <c r="L28" s="16">
        <f t="shared" si="24"/>
        <v>9</v>
      </c>
      <c r="M28" s="123">
        <v>61</v>
      </c>
      <c r="N28" s="124">
        <f>ROUND(Y28/60*L28+M28/60,2)</f>
        <v>7.62</v>
      </c>
      <c r="O28" s="32">
        <f>O27</f>
        <v>90.3</v>
      </c>
      <c r="P28" s="131">
        <f>IF(G28=0,0,ROUND(60/S28,1))</f>
        <v>2.7</v>
      </c>
      <c r="Q28" s="131">
        <f>60*2*C28/E28</f>
        <v>12.698412698412699</v>
      </c>
      <c r="R28" s="131">
        <v>2</v>
      </c>
      <c r="S28" s="131">
        <f>N28+Q28+R28</f>
        <v>22.3184126984127</v>
      </c>
      <c r="T28" s="131">
        <f>IF(S28=0,0,ROUND(60/S28,1))</f>
        <v>2.7</v>
      </c>
      <c r="U28" s="131">
        <f t="shared" si="22"/>
        <v>124.7</v>
      </c>
      <c r="V28" s="131"/>
      <c r="W28" s="132"/>
      <c r="X28" s="18">
        <f>W28*2.8</f>
        <v>0</v>
      </c>
      <c r="Y28" s="2">
        <v>44</v>
      </c>
      <c r="Z28" s="30">
        <v>8.8119999999999994</v>
      </c>
      <c r="AA28" s="2">
        <v>1.45</v>
      </c>
      <c r="AB28" s="11">
        <f t="shared" si="25"/>
        <v>0.55172413793103448</v>
      </c>
      <c r="AC28" s="2">
        <v>1.45</v>
      </c>
      <c r="AD28" s="12">
        <v>1</v>
      </c>
      <c r="AE28" s="2">
        <v>0.8</v>
      </c>
      <c r="AF28" s="2">
        <f t="shared" si="26"/>
        <v>0</v>
      </c>
    </row>
    <row r="30" spans="1:32" ht="16.5" thickBot="1" x14ac:dyDescent="0.3">
      <c r="A30" s="170" t="s">
        <v>40</v>
      </c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</row>
    <row r="31" spans="1:32" ht="15.75" x14ac:dyDescent="0.25">
      <c r="A31" s="5" t="s">
        <v>28</v>
      </c>
      <c r="B31" s="6"/>
      <c r="C31" s="19"/>
      <c r="D31" s="24"/>
      <c r="E31" s="24"/>
      <c r="F31" s="25"/>
      <c r="G31" s="7"/>
      <c r="H31" s="7"/>
      <c r="I31" s="8"/>
      <c r="J31" s="8"/>
      <c r="K31" s="8"/>
      <c r="L31" s="9"/>
      <c r="M31" s="120"/>
      <c r="N31" s="121"/>
      <c r="O31" s="31"/>
      <c r="P31" s="10"/>
      <c r="Q31" s="10"/>
      <c r="R31" s="10"/>
      <c r="S31" s="10"/>
      <c r="T31" s="10"/>
      <c r="U31" s="10"/>
      <c r="V31" s="10"/>
      <c r="W31" s="129" t="e">
        <f>W32+W33+W34+W35</f>
        <v>#VALUE!</v>
      </c>
      <c r="X31" s="135" t="e">
        <f>X32+X33+X34+X35</f>
        <v>#VALUE!</v>
      </c>
      <c r="Y31" s="2"/>
      <c r="Z31" s="27"/>
      <c r="AA31" s="2"/>
      <c r="AB31" s="11"/>
      <c r="AC31" s="2"/>
      <c r="AD31" s="12"/>
      <c r="AE31" s="2"/>
      <c r="AF31" s="2"/>
    </row>
    <row r="32" spans="1:32" ht="15.75" x14ac:dyDescent="0.25">
      <c r="A32" s="109" t="s">
        <v>29</v>
      </c>
      <c r="B32" s="13">
        <v>2</v>
      </c>
      <c r="C32" s="23">
        <v>2</v>
      </c>
      <c r="D32" s="23">
        <f>$F$9</f>
        <v>0</v>
      </c>
      <c r="E32" s="23">
        <v>20</v>
      </c>
      <c r="F32" s="26">
        <v>1.9981489855158836</v>
      </c>
      <c r="G32" s="122">
        <f>IF(F32=0,0,ROUNDUP(O32/F32,1))</f>
        <v>45.2</v>
      </c>
      <c r="H32" s="122">
        <f>I32/AA32</f>
        <v>46.153846153846153</v>
      </c>
      <c r="I32" s="16">
        <v>60</v>
      </c>
      <c r="J32" s="16">
        <f>I32/AA32</f>
        <v>46.153846153846153</v>
      </c>
      <c r="K32" s="16">
        <f>IF(Z32=0,0,IF(AB32=0,0,IF(G32&gt;J32,J32/(Z32*AB32),G32/(Z32*AB32))))</f>
        <v>8.2528089887640448</v>
      </c>
      <c r="L32" s="16">
        <f>ROUNDUP(K32,0)</f>
        <v>9</v>
      </c>
      <c r="M32" s="123">
        <v>60</v>
      </c>
      <c r="N32" s="124">
        <f>ROUND(Y32/60*L32+M32/60,2)</f>
        <v>4.9000000000000004</v>
      </c>
      <c r="O32" s="32">
        <v>90.3</v>
      </c>
      <c r="P32" s="131">
        <f>IF(G32=0,0,ROUND(60/S32,1))</f>
        <v>3.4</v>
      </c>
      <c r="Q32" s="131">
        <f>60*2*C32/E32</f>
        <v>12</v>
      </c>
      <c r="R32" s="131">
        <v>1</v>
      </c>
      <c r="S32" s="131">
        <f>N32+Q32+R32</f>
        <v>17.899999999999999</v>
      </c>
      <c r="T32" s="131">
        <f>IF(S32=0,0,ROUND(60/S32,1))</f>
        <v>3.4</v>
      </c>
      <c r="U32" s="131">
        <f>ROUND(P32*H32,0)</f>
        <v>157</v>
      </c>
      <c r="V32" s="131" t="e">
        <f>(U32*W32+U33*W33+U34*W34)/W31</f>
        <v>#VALUE!</v>
      </c>
      <c r="W32" s="132" t="e">
        <f>SUMIFS([1]погрузка!$F$11:$F$71,[1]погрузка!$A$11:$A$71,'[1]расчет самосвалов'!#REF!,[1]погрузка!$B$11:$B$71,'[1]расчет самосвалов'!A32)</f>
        <v>#VALUE!</v>
      </c>
      <c r="X32" s="18" t="e">
        <f>W32*F32</f>
        <v>#VALUE!</v>
      </c>
      <c r="Y32" s="2">
        <v>26</v>
      </c>
      <c r="Z32" s="27">
        <v>8.9</v>
      </c>
      <c r="AA32" s="2">
        <v>1.3</v>
      </c>
      <c r="AB32" s="11">
        <f>AE32/AC32*AD32</f>
        <v>0.61538461538461542</v>
      </c>
      <c r="AC32" s="2">
        <v>1.3</v>
      </c>
      <c r="AD32" s="12">
        <v>1</v>
      </c>
      <c r="AE32" s="2">
        <v>0.8</v>
      </c>
      <c r="AF32" s="2" t="e">
        <f>IF(W32=0,0,W32/U32)</f>
        <v>#VALUE!</v>
      </c>
    </row>
    <row r="33" spans="1:32" ht="15.75" x14ac:dyDescent="0.25">
      <c r="A33" s="109" t="s">
        <v>30</v>
      </c>
      <c r="B33" s="13">
        <v>2.7</v>
      </c>
      <c r="C33" s="23">
        <v>2.7</v>
      </c>
      <c r="D33" s="23">
        <f>$F$10</f>
        <v>0</v>
      </c>
      <c r="E33" s="23">
        <v>18.899999999999999</v>
      </c>
      <c r="F33" s="26">
        <v>2.7929051863078165</v>
      </c>
      <c r="G33" s="122">
        <f t="shared" ref="G33:G34" si="28">IF(F33=0,0,ROUNDUP(O33/F33,1))</f>
        <v>32.4</v>
      </c>
      <c r="H33" s="122">
        <f>O33/F33</f>
        <v>32.331924636287205</v>
      </c>
      <c r="I33" s="16">
        <v>60</v>
      </c>
      <c r="J33" s="16">
        <f>I33/AA33</f>
        <v>41.379310344827587</v>
      </c>
      <c r="K33" s="16">
        <f>IF(Z33=0,0,IF(AB33=0,0,IF(G33&gt;J33,J33/(Z33*AB33),G33/(Z33*AB33))))</f>
        <v>6.5983146067415728</v>
      </c>
      <c r="L33" s="16">
        <f t="shared" ref="L33:L34" si="29">ROUNDUP(K33,0)</f>
        <v>7</v>
      </c>
      <c r="M33" s="123">
        <v>60</v>
      </c>
      <c r="N33" s="124">
        <f>ROUND(Y33/60*L33+M33/60,2)</f>
        <v>4.7300000000000004</v>
      </c>
      <c r="O33" s="32">
        <f>O32</f>
        <v>90.3</v>
      </c>
      <c r="P33" s="131">
        <f>IF(G33=0,0,60/S33)</f>
        <v>2.6231965523702452</v>
      </c>
      <c r="Q33" s="131">
        <f t="shared" ref="Q33" si="30">60*2*C33/E33</f>
        <v>17.142857142857146</v>
      </c>
      <c r="R33" s="131">
        <v>1</v>
      </c>
      <c r="S33" s="131">
        <f t="shared" ref="S33:S34" si="31">N33+Q33+R33</f>
        <v>22.872857142857146</v>
      </c>
      <c r="T33" s="131">
        <f>IF(S33=0,0,ROUND(60/S33,1))</f>
        <v>2.6</v>
      </c>
      <c r="U33" s="131">
        <f>ROUND(P33*H33,0)</f>
        <v>85</v>
      </c>
      <c r="V33" s="131"/>
      <c r="W33" s="132" t="e">
        <f>SUMIFS([1]погрузка!$F$11:$F$71,[1]погрузка!$A$11:$A$71,'[1]расчет самосвалов'!#REF!,[1]погрузка!$B$11:$B$71,'[1]расчет самосвалов'!A33)</f>
        <v>#VALUE!</v>
      </c>
      <c r="X33" s="18" t="e">
        <f>W33*F33</f>
        <v>#VALUE!</v>
      </c>
      <c r="Y33" s="2">
        <v>32</v>
      </c>
      <c r="Z33" s="27">
        <v>8.9</v>
      </c>
      <c r="AA33" s="2">
        <v>1.45</v>
      </c>
      <c r="AB33" s="11">
        <v>0.55172413793103448</v>
      </c>
      <c r="AC33" s="2">
        <v>1.45</v>
      </c>
      <c r="AD33" s="12">
        <v>1</v>
      </c>
      <c r="AE33" s="2">
        <v>0.8</v>
      </c>
      <c r="AF33" s="2" t="e">
        <f>IF(W33=0,0,W33/U33)</f>
        <v>#VALUE!</v>
      </c>
    </row>
    <row r="34" spans="1:32" ht="15.75" x14ac:dyDescent="0.25">
      <c r="A34" s="109" t="s">
        <v>31</v>
      </c>
      <c r="B34" s="13">
        <v>3</v>
      </c>
      <c r="C34" s="23">
        <v>3</v>
      </c>
      <c r="D34" s="23">
        <f>$F$11</f>
        <v>0</v>
      </c>
      <c r="E34" s="23">
        <v>18.899999999999999</v>
      </c>
      <c r="F34" s="26">
        <v>2.7929051863078165</v>
      </c>
      <c r="G34" s="122">
        <f t="shared" si="28"/>
        <v>32.4</v>
      </c>
      <c r="H34" s="122">
        <f>O34/F34</f>
        <v>32.331924636287205</v>
      </c>
      <c r="I34" s="16">
        <v>60</v>
      </c>
      <c r="J34" s="16">
        <f>I34/AA34</f>
        <v>41.379310344827587</v>
      </c>
      <c r="K34" s="16">
        <f>IF(Z34=0,0,IF(AB34=0,0,IF(G34&gt;J34,J34/(Z34*AB34),G34/(Z34*AB34))))</f>
        <v>6.5983146067415728</v>
      </c>
      <c r="L34" s="16">
        <f t="shared" si="29"/>
        <v>7</v>
      </c>
      <c r="M34" s="123">
        <v>60</v>
      </c>
      <c r="N34" s="124">
        <f>ROUND(Y34/60*L34+M34/60,2)</f>
        <v>4.7300000000000004</v>
      </c>
      <c r="O34" s="32">
        <f>O33</f>
        <v>90.3</v>
      </c>
      <c r="P34" s="131">
        <f>IF(G34=0,0,60/S34)</f>
        <v>2.4215401764264985</v>
      </c>
      <c r="Q34" s="131">
        <f>60*2*C34/E34</f>
        <v>19.047619047619047</v>
      </c>
      <c r="R34" s="131">
        <v>1</v>
      </c>
      <c r="S34" s="131">
        <f t="shared" si="31"/>
        <v>24.777619047619048</v>
      </c>
      <c r="T34" s="131">
        <f>IF(S34=0,0,ROUND(60/S34,1))</f>
        <v>2.4</v>
      </c>
      <c r="U34" s="131">
        <f>ROUND(P34*H34,0)</f>
        <v>78</v>
      </c>
      <c r="V34" s="131"/>
      <c r="W34" s="132" t="e">
        <f>SUMIFS([1]погрузка!$F$11:$F$71,[1]погрузка!$A$11:$A$71,'[1]расчет самосвалов'!#REF!,[1]погрузка!$B$11:$B$71,'[1]расчет самосвалов'!A34)</f>
        <v>#VALUE!</v>
      </c>
      <c r="X34" s="18" t="e">
        <f>W34*F34</f>
        <v>#VALUE!</v>
      </c>
      <c r="Y34" s="2">
        <v>32</v>
      </c>
      <c r="Z34" s="27">
        <v>8.9</v>
      </c>
      <c r="AA34" s="2">
        <v>1.45</v>
      </c>
      <c r="AB34" s="11">
        <v>0.55172413793103448</v>
      </c>
      <c r="AC34" s="2">
        <v>1.45</v>
      </c>
      <c r="AD34" s="12">
        <v>1</v>
      </c>
      <c r="AE34" s="2">
        <v>0.8</v>
      </c>
      <c r="AF34" s="2" t="e">
        <f t="shared" ref="AF34" si="32">IF(W34=0,0,W34/U34)</f>
        <v>#VALUE!</v>
      </c>
    </row>
    <row r="35" spans="1:32" ht="15.75" x14ac:dyDescent="0.25">
      <c r="A35" s="110" t="s">
        <v>32</v>
      </c>
      <c r="B35" s="14">
        <f t="shared" ref="B35" si="33">C35</f>
        <v>2</v>
      </c>
      <c r="C35" s="21">
        <v>2</v>
      </c>
      <c r="D35" s="23">
        <f>$F$12</f>
        <v>1.9981489855158836</v>
      </c>
      <c r="E35" s="23">
        <v>18.899999999999999</v>
      </c>
      <c r="F35" s="26">
        <v>1.8</v>
      </c>
      <c r="G35" s="15">
        <f>IF(F35=0,0,ROUNDUP(O35/F35,1))</f>
        <v>50.2</v>
      </c>
      <c r="H35" s="122">
        <f>IF(49.6&lt;46.2,ОКРУГЛQ34/F24,46.2)</f>
        <v>46.2</v>
      </c>
      <c r="I35" s="16" t="e">
        <f t="shared" ref="I35" si="34">IF(X35=0,0,20/60)</f>
        <v>#VALUE!</v>
      </c>
      <c r="J35" s="16"/>
      <c r="K35" s="16" t="e">
        <f t="shared" ref="K35" si="35">IF(X35=0,0,20/60)</f>
        <v>#VALUE!</v>
      </c>
      <c r="L35" s="17" t="e">
        <f t="shared" ref="L35" si="36">IF(X35=0,0,0.6)</f>
        <v>#VALUE!</v>
      </c>
      <c r="M35" s="123" t="e">
        <f t="shared" ref="M35" si="37">SUM(F35:L35)</f>
        <v>#VALUE!</v>
      </c>
      <c r="N35" s="124" t="e">
        <f t="shared" ref="N35" si="38">(F35+G35+I35+J35+K35+L35)/60</f>
        <v>#VALUE!</v>
      </c>
      <c r="O35" s="32">
        <f>O34</f>
        <v>90.3</v>
      </c>
      <c r="P35" s="131" t="e">
        <f>IF(G35=0,0,60/S35)</f>
        <v>#VALUE!</v>
      </c>
      <c r="Q35" s="131">
        <f>60*2*C35/E35</f>
        <v>12.698412698412699</v>
      </c>
      <c r="R35" s="131">
        <v>2</v>
      </c>
      <c r="S35" s="131" t="e">
        <f t="shared" ref="S35" si="39">N35+Q35+R35</f>
        <v>#VALUE!</v>
      </c>
      <c r="T35" s="131" t="e">
        <f>IF(S35=0,0,ROUND(60/S35,1))</f>
        <v>#VALUE!</v>
      </c>
      <c r="U35" s="131" t="e">
        <f>ROUND(P35*H35,0)</f>
        <v>#VALUE!</v>
      </c>
      <c r="V35" s="131"/>
      <c r="W35" s="132" t="e">
        <f>SUMIFS([1]погрузка!$F$11:$F$71,[1]погрузка!$A$11:$A$71,'[1]расчет самосвалов'!#REF!,[1]погрузка!$B$11:$B$71,'[1]расчет самосвалов'!A35)</f>
        <v>#VALUE!</v>
      </c>
      <c r="X35" s="18" t="e">
        <f>W35*F35</f>
        <v>#VALUE!</v>
      </c>
      <c r="Y35" s="2">
        <v>26</v>
      </c>
      <c r="Z35" s="27">
        <v>8.9</v>
      </c>
      <c r="AA35" s="2">
        <v>1.3</v>
      </c>
      <c r="AB35" s="2">
        <v>0.61538461538461542</v>
      </c>
      <c r="AC35" s="2">
        <v>1.3</v>
      </c>
      <c r="AD35" s="2">
        <v>1</v>
      </c>
      <c r="AE35" s="2">
        <v>0.8</v>
      </c>
      <c r="AF35" s="2">
        <v>0</v>
      </c>
    </row>
  </sheetData>
  <mergeCells count="18">
    <mergeCell ref="A23:AF23"/>
    <mergeCell ref="A30:AF30"/>
    <mergeCell ref="Q2:Q3"/>
    <mergeCell ref="W2:X2"/>
    <mergeCell ref="Y2:Y3"/>
    <mergeCell ref="A1:AF1"/>
    <mergeCell ref="A10:AF10"/>
    <mergeCell ref="A17:AF17"/>
    <mergeCell ref="F2:F3"/>
    <mergeCell ref="G2:G3"/>
    <mergeCell ref="I2:I3"/>
    <mergeCell ref="J2:J3"/>
    <mergeCell ref="K2:K3"/>
    <mergeCell ref="O2:O3"/>
    <mergeCell ref="A2:A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загрузка ас</vt:lpstr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2023-04-04T10:57:02Z</dcterms:modified>
</cp:coreProperties>
</file>