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10 операция, машинное зрение\"/>
    </mc:Choice>
  </mc:AlternateContent>
  <xr:revisionPtr revIDLastSave="0" documentId="13_ncr:1_{66E0E391-C1C1-40CA-9455-7310660A480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Эк. эффект" sheetId="5" r:id="rId1"/>
    <sheet name="Анализ ЭЭ" sheetId="13" r:id="rId2"/>
    <sheet name="Лист1" sheetId="1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8" i="13" l="1"/>
  <c r="G8" i="13" s="1"/>
  <c r="I8" i="13" s="1"/>
  <c r="K8" i="13" s="1"/>
  <c r="M8" i="13" s="1"/>
  <c r="M11" i="13" s="1"/>
  <c r="D18" i="13" s="1"/>
  <c r="C19" i="5" l="1"/>
  <c r="C37" i="5"/>
  <c r="E44" i="5" s="1"/>
  <c r="K29" i="14" l="1"/>
  <c r="K23" i="14"/>
  <c r="M23" i="14" s="1"/>
  <c r="K28" i="14"/>
  <c r="K27" i="14"/>
  <c r="I23" i="14"/>
  <c r="C28" i="14"/>
  <c r="D28" i="14" s="1"/>
  <c r="G28" i="14" s="1"/>
  <c r="I28" i="14" s="1"/>
  <c r="M28" i="14" s="1"/>
  <c r="D23" i="14"/>
  <c r="B23" i="14"/>
  <c r="G29" i="14"/>
  <c r="I29" i="14" s="1"/>
  <c r="M29" i="14" s="1"/>
  <c r="D29" i="14"/>
  <c r="C29" i="14"/>
  <c r="G23" i="14"/>
  <c r="D22" i="14"/>
  <c r="I22" i="14" s="1"/>
  <c r="M22" i="14" s="1"/>
  <c r="N8" i="14"/>
  <c r="N7" i="14"/>
  <c r="N6" i="14"/>
  <c r="B27" i="14" s="1"/>
  <c r="D27" i="14" s="1"/>
  <c r="G27" i="14" s="1"/>
  <c r="I27" i="14" s="1"/>
  <c r="M27" i="14" s="1"/>
  <c r="M9" i="14"/>
  <c r="L9" i="14"/>
  <c r="K9" i="14"/>
  <c r="J9" i="14"/>
  <c r="I9" i="14"/>
  <c r="H9" i="14"/>
  <c r="G9" i="14"/>
  <c r="F9" i="14"/>
  <c r="E9" i="14"/>
  <c r="M33" i="14" l="1"/>
  <c r="M31" i="14"/>
  <c r="G22" i="14"/>
  <c r="N9" i="14"/>
  <c r="E42" i="5"/>
  <c r="E43" i="5" l="1"/>
  <c r="E45" i="5"/>
  <c r="B36" i="5"/>
  <c r="B35" i="5"/>
  <c r="B34" i="5"/>
  <c r="D47" i="5" l="1"/>
  <c r="E29" i="5"/>
  <c r="D29" i="5"/>
  <c r="C29" i="5"/>
</calcChain>
</file>

<file path=xl/sharedStrings.xml><?xml version="1.0" encoding="utf-8"?>
<sst xmlns="http://schemas.openxmlformats.org/spreadsheetml/2006/main" count="119" uniqueCount="108">
  <si>
    <t>Критерии</t>
  </si>
  <si>
    <t>2. Коэффициент точности данных</t>
  </si>
  <si>
    <t>3. Коэффициент экономического эффекта</t>
  </si>
  <si>
    <t>Высокий</t>
  </si>
  <si>
    <t>Средний</t>
  </si>
  <si>
    <t>Низкий</t>
  </si>
  <si>
    <t>NPV подтвержден со значительными отклонениями</t>
  </si>
  <si>
    <t>NPV подтвержден с незначительными отклонениями</t>
  </si>
  <si>
    <t>NPV подтвержден успешно, без отклонений</t>
  </si>
  <si>
    <t>Диапазон значений</t>
  </si>
  <si>
    <t>Статус</t>
  </si>
  <si>
    <t>ОБЩАЯ СУММА КРИТЕРИЕВ (значение Q)</t>
  </si>
  <si>
    <t>% премии</t>
  </si>
  <si>
    <t>Миронов С. В.</t>
  </si>
  <si>
    <t>Начальник сектора ПНиСО ПЭО</t>
  </si>
  <si>
    <t>Начальник ПЭО</t>
  </si>
  <si>
    <t>Экспертизу провел:</t>
  </si>
  <si>
    <t>3. Экспертный статус проекта</t>
  </si>
  <si>
    <t>85% &lt; Q ≤ 100%</t>
  </si>
  <si>
    <t>NPV подтвержден с отклонениями</t>
  </si>
  <si>
    <t>тенге.</t>
  </si>
  <si>
    <t>Зайцева Ю. А.</t>
  </si>
  <si>
    <t>2. Фактическая оценка экономического эффекта - заключение</t>
  </si>
  <si>
    <t>1. Значения оценки экономического эффекта - базовые</t>
  </si>
  <si>
    <t>УТВЕРЖДАЮ:</t>
  </si>
  <si>
    <t>Финансовый директор</t>
  </si>
  <si>
    <t>АО "Костанайские минералы"</t>
  </si>
  <si>
    <t>тел.: 10-89</t>
  </si>
  <si>
    <t>Расчетный бонусный бюджет по представленному проекту: до</t>
  </si>
  <si>
    <t>№
п. п.</t>
  </si>
  <si>
    <t>Орумбаев И. Н.</t>
  </si>
  <si>
    <t>Итого</t>
  </si>
  <si>
    <t>1. Логика проекта</t>
  </si>
  <si>
    <t xml:space="preserve">     Расчётно экономический эффект составляет:</t>
  </si>
  <si>
    <t>тенге</t>
  </si>
  <si>
    <t>1.</t>
  </si>
  <si>
    <t>2.</t>
  </si>
  <si>
    <t>3.</t>
  </si>
  <si>
    <t>Экономический эффект</t>
  </si>
  <si>
    <t>Проверка расчёта экономического эффекта</t>
  </si>
  <si>
    <t>(по данным итогового отчёта проекта)</t>
  </si>
  <si>
    <t>35% ≤ Q ≤ 55%</t>
  </si>
  <si>
    <t>55% &lt; Q ≤ 75%</t>
  </si>
  <si>
    <t>75% &lt; Q ≤ 85%</t>
  </si>
  <si>
    <t>Наименование</t>
  </si>
  <si>
    <t>ед. изм.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</si>
  <si>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</si>
  <si>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</si>
  <si>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</si>
  <si>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</si>
  <si>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</si>
  <si>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</si>
  <si>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</si>
  <si>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</si>
  <si>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сентабрь</t>
  </si>
  <si>
    <t>9 мес.
2019 г.</t>
  </si>
  <si>
    <t>Простои по электрической части</t>
  </si>
  <si>
    <t>Простои по перекрыванию</t>
  </si>
  <si>
    <t>Простои прочие</t>
  </si>
  <si>
    <t>Всего</t>
  </si>
  <si>
    <t>Таблица 1 - Простои</t>
  </si>
  <si>
    <t>Производительность 1-го пресса
за 10 минут,
мешков</t>
  </si>
  <si>
    <t>Производительность
всех прессов участка
за 10 минут,
мешков</t>
  </si>
  <si>
    <t>Производительность,
тонн</t>
  </si>
  <si>
    <t>По перекрыванию
за 9 мес. 2019 года,
тонн</t>
  </si>
  <si>
    <t>Потери прибыли
от непроизведённой
продукции за 9 мес.,
тенге</t>
  </si>
  <si>
    <t>мин.</t>
  </si>
  <si>
    <t>Справочно:</t>
  </si>
  <si>
    <t>Средний цикл работы прессов одного участка, сек.:</t>
  </si>
  <si>
    <t>Количестов прессов на участке, шт.:</t>
  </si>
  <si>
    <t>секунд</t>
  </si>
  <si>
    <t>прессов</t>
  </si>
  <si>
    <t>Вес хризотила в мешке, кг.:</t>
  </si>
  <si>
    <t>кг.</t>
  </si>
  <si>
    <t>Средняя цена
реализации хризотила
3-6 групп,
тенге/кг.</t>
  </si>
  <si>
    <t>Таблица 2 - Потери продукции из-за несовершенства логистики (простои по перекрыванию).</t>
  </si>
  <si>
    <t>Таблица 3 - Потери продукции из-за несовершенства логистики (простои по электрической части)</t>
  </si>
  <si>
    <t>Производительность 1-го пресса
за 344 минуты,
мешков</t>
  </si>
  <si>
    <t>Производительность
всех прессов участка
за 344 минуты,
мешков</t>
  </si>
  <si>
    <t>Расчёт экономического эффекта по проекту - по логике предоставленного проекта</t>
  </si>
  <si>
    <t>Итого (по паспорту проекта):</t>
  </si>
  <si>
    <t>Итого (перерасчёт ПЭО):</t>
  </si>
  <si>
    <t>строка 1. - сразу на 344 мин.</t>
  </si>
  <si>
    <t>строка 2. - как в первой таблице: от производительности за 10 минут</t>
  </si>
  <si>
    <t>Средняя цена
реализации хризотила
3-6 групп,
тенге/т.</t>
  </si>
  <si>
    <t>Производительность
всех прессов участка
за 10 минут,
кг.</t>
  </si>
  <si>
    <t>По перекрыванию
за 9 мес. 2019 года,
кг.</t>
  </si>
  <si>
    <t>"_____" _____________ 2021 г.</t>
  </si>
  <si>
    <t>(данные из итогового отчёта по проекту)</t>
  </si>
  <si>
    <t>№</t>
  </si>
  <si>
    <t>ВСЕГО затрат</t>
  </si>
  <si>
    <t>«Машинное зрение, контроль схода на грохотах 16 операции"</t>
  </si>
  <si>
    <t>(обогатительный комплекс)</t>
  </si>
  <si>
    <t>Рассмотрен итоговый отчёт проекта БП «Машинное зрение, контроль схода на</t>
  </si>
  <si>
    <t xml:space="preserve">грохотах 16 операции </t>
  </si>
  <si>
    <t>по проекту «Машинное зрение, контроль схода на грохотах 16 операции"</t>
  </si>
  <si>
    <t>% схода 16 операции</t>
  </si>
  <si>
    <t>содержание свободного волокна, %</t>
  </si>
  <si>
    <t>переработка руды в 1 час, тонн</t>
  </si>
  <si>
    <t>кол-во материала, тонн/час</t>
  </si>
  <si>
    <t>потери свободного волокна, тонн/час</t>
  </si>
  <si>
    <t>кол-во часов работы в год</t>
  </si>
  <si>
    <t>потери чернового концентрата в год, тонн</t>
  </si>
  <si>
    <t>доля марки 5-50, %</t>
  </si>
  <si>
    <t>потери марки 5-50 в год, тонн</t>
  </si>
  <si>
    <t>рентабельность марки 5-50, тенге/тонна</t>
  </si>
  <si>
    <t>сумма потерь в год, тенге</t>
  </si>
  <si>
    <t>Экспертиза экономического эффекта проекта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</si>
</sst>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р_._-;\-* #,##0.00_р_._-;_-* &quot;-&quot;??_р_._-;_-@_-"/>
    <numFmt numFmtId="165" formatCode="#,##0.0"/>
    <numFmt numFmtId="166" formatCode="#,##0.000"/>
    <numFmt numFmtId="167" formatCode="0.0"/>
  </numFmts>
  <fonts count="16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2"/>
      <charset val="204"/>
    </font>
    <font>
      <sz val="12"/>
      <color theme="1"/>
      <name val="Times New Roman"/>
      <family val="2"/>
      <charset val="204"/>
    </font>
    <font>
      <sz val="12"/>
      <color theme="1"/>
      <name val="Times New Roman"/>
      <family val="2"/>
      <charset val="204"/>
    </font>
    <font>
      <sz val="10"/>
      <name val="Arial Cyr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6">
    <xf numFmtId="0" fontId="0" fillId="0" borderId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9" fontId="4" fillId="0" borderId="0" applyFont="0" applyFill="0" applyBorder="0" applyAlignment="0" applyProtection="0"/>
    <xf numFmtId="0" fontId="2" fillId="0" borderId="0"/>
  </cellStyleXfs>
  <cellXfs count="167">
    <xf numFmtId="0" fontId="0" fillId="0" borderId="0" xfId="0"/>
    <xf numFmtId="0" fontId="6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Fill="1" applyBorder="1" applyAlignment="1">
      <alignment horizontal="left"/>
    </xf>
    <xf numFmtId="0" fontId="7" fillId="0" borderId="2" xfId="0" applyFont="1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6" fillId="0" borderId="16" xfId="0" applyFont="1" applyBorder="1"/>
    <xf numFmtId="9" fontId="6" fillId="0" borderId="25" xfId="0" applyNumberFormat="1" applyFont="1" applyFill="1" applyBorder="1" applyAlignment="1">
      <alignment horizontal="center" vertical="center"/>
    </xf>
    <xf numFmtId="9" fontId="6" fillId="0" borderId="6" xfId="0" applyNumberFormat="1" applyFont="1" applyFill="1" applyBorder="1" applyAlignment="1">
      <alignment horizontal="center" vertical="center"/>
    </xf>
    <xf numFmtId="9" fontId="6" fillId="0" borderId="7" xfId="0" applyNumberFormat="1" applyFont="1" applyFill="1" applyBorder="1" applyAlignment="1">
      <alignment horizontal="center"/>
    </xf>
    <xf numFmtId="0" fontId="6" fillId="0" borderId="17" xfId="0" applyFont="1" applyBorder="1"/>
    <xf numFmtId="9" fontId="6" fillId="0" borderId="26" xfId="0" applyNumberFormat="1" applyFont="1" applyFill="1" applyBorder="1" applyAlignment="1">
      <alignment horizontal="center" vertical="center"/>
    </xf>
    <xf numFmtId="9" fontId="6" fillId="0" borderId="1" xfId="0" applyNumberFormat="1" applyFont="1" applyFill="1" applyBorder="1" applyAlignment="1">
      <alignment horizontal="center" vertical="center"/>
    </xf>
    <xf numFmtId="9" fontId="6" fillId="0" borderId="3" xfId="0" applyNumberFormat="1" applyFont="1" applyFill="1" applyBorder="1" applyAlignment="1">
      <alignment horizontal="center"/>
    </xf>
    <xf numFmtId="0" fontId="6" fillId="0" borderId="18" xfId="0" applyFont="1" applyBorder="1"/>
    <xf numFmtId="9" fontId="6" fillId="0" borderId="10" xfId="0" applyNumberFormat="1" applyFont="1" applyFill="1" applyBorder="1" applyAlignment="1">
      <alignment horizontal="center" vertical="center"/>
    </xf>
    <xf numFmtId="9" fontId="6" fillId="0" borderId="11" xfId="0" applyNumberFormat="1" applyFont="1" applyFill="1" applyBorder="1" applyAlignment="1">
      <alignment horizontal="center"/>
    </xf>
    <xf numFmtId="0" fontId="5" fillId="0" borderId="2" xfId="0" applyFont="1" applyFill="1" applyBorder="1"/>
    <xf numFmtId="9" fontId="5" fillId="0" borderId="24" xfId="0" applyNumberFormat="1" applyFont="1" applyBorder="1" applyAlignment="1">
      <alignment horizontal="center" vertical="center"/>
    </xf>
    <xf numFmtId="9" fontId="5" fillId="0" borderId="8" xfId="0" applyNumberFormat="1" applyFont="1" applyBorder="1" applyAlignment="1">
      <alignment horizontal="center" vertical="center"/>
    </xf>
    <xf numFmtId="9" fontId="5" fillId="0" borderId="9" xfId="0" applyNumberFormat="1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9" fontId="6" fillId="0" borderId="13" xfId="0" applyNumberFormat="1" applyFont="1" applyFill="1" applyBorder="1" applyAlignment="1">
      <alignment horizontal="center" vertical="center"/>
    </xf>
    <xf numFmtId="9" fontId="6" fillId="0" borderId="14" xfId="0" applyNumberFormat="1" applyFont="1" applyFill="1" applyBorder="1" applyAlignment="1">
      <alignment horizontal="center" vertical="center"/>
    </xf>
    <xf numFmtId="9" fontId="6" fillId="0" borderId="15" xfId="0" applyNumberFormat="1" applyFont="1" applyFill="1" applyBorder="1" applyAlignment="1">
      <alignment horizontal="center" vertical="center"/>
    </xf>
    <xf numFmtId="9" fontId="5" fillId="0" borderId="7" xfId="0" applyNumberFormat="1" applyFont="1" applyBorder="1" applyAlignment="1">
      <alignment horizontal="center"/>
    </xf>
    <xf numFmtId="9" fontId="5" fillId="0" borderId="3" xfId="0" applyNumberFormat="1" applyFont="1" applyBorder="1" applyAlignment="1">
      <alignment horizontal="center"/>
    </xf>
    <xf numFmtId="0" fontId="6" fillId="0" borderId="20" xfId="0" applyFont="1" applyBorder="1"/>
    <xf numFmtId="9" fontId="5" fillId="0" borderId="5" xfId="0" applyNumberFormat="1" applyFont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6" fillId="0" borderId="0" xfId="0" applyFont="1" applyFill="1" applyAlignment="1">
      <alignment horizontal="left" vertical="center"/>
    </xf>
    <xf numFmtId="0" fontId="8" fillId="0" borderId="0" xfId="0" applyFont="1" applyFill="1" applyBorder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Fill="1" applyBorder="1" applyAlignment="1">
      <alignment horizontal="left"/>
    </xf>
    <xf numFmtId="3" fontId="5" fillId="2" borderId="0" xfId="0" applyNumberFormat="1" applyFont="1" applyFill="1" applyAlignment="1">
      <alignment horizontal="center"/>
    </xf>
    <xf numFmtId="0" fontId="6" fillId="0" borderId="0" xfId="0" applyFont="1" applyBorder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2" fillId="0" borderId="0" xfId="5"/>
    <xf numFmtId="0" fontId="5" fillId="0" borderId="0" xfId="5" applyFont="1" applyAlignment="1">
      <alignment horizontal="center"/>
    </xf>
    <xf numFmtId="0" fontId="5" fillId="0" borderId="0" xfId="5" applyFont="1" applyAlignment="1">
      <alignment horizontal="left"/>
    </xf>
    <xf numFmtId="0" fontId="5" fillId="3" borderId="24" xfId="5" applyFont="1" applyFill="1" applyBorder="1" applyAlignment="1">
      <alignment horizontal="center" vertical="center"/>
    </xf>
    <xf numFmtId="0" fontId="5" fillId="3" borderId="8" xfId="5" applyFont="1" applyFill="1" applyBorder="1" applyAlignment="1">
      <alignment vertical="center" wrapText="1"/>
    </xf>
    <xf numFmtId="3" fontId="5" fillId="3" borderId="9" xfId="5" applyNumberFormat="1" applyFont="1" applyFill="1" applyBorder="1" applyAlignment="1">
      <alignment vertical="center"/>
    </xf>
    <xf numFmtId="0" fontId="8" fillId="0" borderId="0" xfId="0" applyFont="1"/>
    <xf numFmtId="0" fontId="9" fillId="0" borderId="1" xfId="0" applyFont="1" applyBorder="1"/>
    <xf numFmtId="0" fontId="9" fillId="0" borderId="6" xfId="0" applyFont="1" applyBorder="1"/>
    <xf numFmtId="0" fontId="8" fillId="0" borderId="24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9" fillId="0" borderId="25" xfId="0" applyFont="1" applyBorder="1"/>
    <xf numFmtId="0" fontId="9" fillId="0" borderId="26" xfId="0" applyFont="1" applyBorder="1"/>
    <xf numFmtId="0" fontId="8" fillId="0" borderId="30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9" fillId="0" borderId="27" xfId="0" applyFont="1" applyBorder="1"/>
    <xf numFmtId="0" fontId="9" fillId="0" borderId="10" xfId="0" applyFont="1" applyBorder="1"/>
    <xf numFmtId="0" fontId="8" fillId="0" borderId="24" xfId="0" applyFont="1" applyBorder="1" applyAlignment="1">
      <alignment vertical="center"/>
    </xf>
    <xf numFmtId="3" fontId="9" fillId="0" borderId="13" xfId="0" applyNumberFormat="1" applyFont="1" applyBorder="1"/>
    <xf numFmtId="3" fontId="9" fillId="0" borderId="6" xfId="0" applyNumberFormat="1" applyFont="1" applyBorder="1"/>
    <xf numFmtId="3" fontId="9" fillId="0" borderId="31" xfId="0" applyNumberFormat="1" applyFont="1" applyBorder="1"/>
    <xf numFmtId="3" fontId="9" fillId="0" borderId="14" xfId="0" applyNumberFormat="1" applyFont="1" applyBorder="1"/>
    <xf numFmtId="3" fontId="9" fillId="0" borderId="1" xfId="0" applyNumberFormat="1" applyFont="1" applyBorder="1"/>
    <xf numFmtId="3" fontId="9" fillId="0" borderId="32" xfId="0" applyNumberFormat="1" applyFont="1" applyBorder="1"/>
    <xf numFmtId="3" fontId="9" fillId="0" borderId="15" xfId="0" applyNumberFormat="1" applyFont="1" applyBorder="1"/>
    <xf numFmtId="3" fontId="9" fillId="0" borderId="10" xfId="0" applyNumberFormat="1" applyFont="1" applyBorder="1"/>
    <xf numFmtId="3" fontId="9" fillId="0" borderId="33" xfId="0" applyNumberFormat="1" applyFont="1" applyBorder="1"/>
    <xf numFmtId="3" fontId="8" fillId="0" borderId="12" xfId="0" applyNumberFormat="1" applyFont="1" applyBorder="1" applyAlignment="1">
      <alignment vertical="center"/>
    </xf>
    <xf numFmtId="3" fontId="8" fillId="0" borderId="8" xfId="0" applyNumberFormat="1" applyFont="1" applyBorder="1" applyAlignment="1">
      <alignment vertical="center"/>
    </xf>
    <xf numFmtId="3" fontId="8" fillId="0" borderId="30" xfId="0" applyNumberFormat="1" applyFont="1" applyBorder="1" applyAlignment="1">
      <alignment vertical="center"/>
    </xf>
    <xf numFmtId="3" fontId="8" fillId="0" borderId="2" xfId="0" applyNumberFormat="1" applyFont="1" applyBorder="1" applyAlignment="1">
      <alignment vertical="center"/>
    </xf>
    <xf numFmtId="3" fontId="8" fillId="0" borderId="16" xfId="0" applyNumberFormat="1" applyFont="1" applyBorder="1"/>
    <xf numFmtId="3" fontId="8" fillId="0" borderId="17" xfId="0" applyNumberFormat="1" applyFont="1" applyBorder="1"/>
    <xf numFmtId="3" fontId="8" fillId="0" borderId="18" xfId="0" applyNumberFormat="1" applyFont="1" applyBorder="1"/>
    <xf numFmtId="0" fontId="9" fillId="0" borderId="7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8" fillId="0" borderId="0" xfId="0" applyFont="1" applyAlignment="1">
      <alignment horizontal="right"/>
    </xf>
    <xf numFmtId="0" fontId="9" fillId="0" borderId="34" xfId="0" applyFont="1" applyBorder="1" applyAlignment="1">
      <alignment horizontal="right"/>
    </xf>
    <xf numFmtId="0" fontId="9" fillId="0" borderId="34" xfId="0" applyFont="1" applyBorder="1"/>
    <xf numFmtId="0" fontId="8" fillId="0" borderId="35" xfId="0" applyFont="1" applyBorder="1"/>
    <xf numFmtId="0" fontId="9" fillId="0" borderId="35" xfId="0" applyFont="1" applyBorder="1"/>
    <xf numFmtId="0" fontId="9" fillId="0" borderId="0" xfId="0" applyFont="1" applyBorder="1"/>
    <xf numFmtId="0" fontId="8" fillId="0" borderId="36" xfId="0" applyFont="1" applyBorder="1"/>
    <xf numFmtId="0" fontId="9" fillId="0" borderId="36" xfId="0" applyFont="1" applyBorder="1"/>
    <xf numFmtId="0" fontId="12" fillId="0" borderId="0" xfId="0" applyFont="1"/>
    <xf numFmtId="3" fontId="12" fillId="0" borderId="38" xfId="0" applyNumberFormat="1" applyFont="1" applyBorder="1" applyAlignment="1">
      <alignment horizontal="center" vertical="center"/>
    </xf>
    <xf numFmtId="4" fontId="12" fillId="0" borderId="38" xfId="0" applyNumberFormat="1" applyFont="1" applyBorder="1" applyAlignment="1">
      <alignment horizontal="center"/>
    </xf>
    <xf numFmtId="0" fontId="12" fillId="0" borderId="37" xfId="0" applyFont="1" applyBorder="1" applyAlignment="1">
      <alignment horizontal="center" vertical="center"/>
    </xf>
    <xf numFmtId="2" fontId="12" fillId="0" borderId="37" xfId="0" applyNumberFormat="1" applyFont="1" applyBorder="1" applyAlignment="1">
      <alignment horizontal="center" vertical="center"/>
    </xf>
    <xf numFmtId="0" fontId="2" fillId="0" borderId="0" xfId="5" applyAlignment="1">
      <alignment horizontal="center" vertical="center"/>
    </xf>
    <xf numFmtId="0" fontId="2" fillId="0" borderId="0" xfId="5" applyAlignment="1">
      <alignment vertical="center"/>
    </xf>
    <xf numFmtId="0" fontId="6" fillId="0" borderId="0" xfId="0" applyFont="1" applyFill="1" applyAlignment="1">
      <alignment horizontal="left" vertical="center"/>
    </xf>
    <xf numFmtId="9" fontId="6" fillId="4" borderId="27" xfId="0" applyNumberFormat="1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3" fontId="15" fillId="0" borderId="1" xfId="0" applyNumberFormat="1" applyFont="1" applyBorder="1" applyAlignment="1">
      <alignment horizontal="center" vertical="center" wrapText="1"/>
    </xf>
    <xf numFmtId="165" fontId="15" fillId="0" borderId="1" xfId="0" applyNumberFormat="1" applyFont="1" applyBorder="1" applyAlignment="1">
      <alignment horizontal="center" vertical="center" wrapText="1"/>
    </xf>
    <xf numFmtId="3" fontId="15" fillId="0" borderId="1" xfId="0" applyNumberFormat="1" applyFont="1" applyFill="1" applyBorder="1" applyAlignment="1">
      <alignment horizontal="center" vertical="center" wrapText="1"/>
    </xf>
    <xf numFmtId="165" fontId="15" fillId="0" borderId="1" xfId="0" applyNumberFormat="1" applyFont="1" applyFill="1" applyBorder="1" applyAlignment="1">
      <alignment horizontal="center" vertical="center" wrapText="1"/>
    </xf>
    <xf numFmtId="166" fontId="15" fillId="0" borderId="1" xfId="0" applyNumberFormat="1" applyFont="1" applyBorder="1" applyAlignment="1">
      <alignment horizontal="center" vertical="center" wrapText="1"/>
    </xf>
    <xf numFmtId="0" fontId="14" fillId="5" borderId="6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vertical="center"/>
    </xf>
    <xf numFmtId="3" fontId="14" fillId="5" borderId="6" xfId="0" applyNumberFormat="1" applyFont="1" applyFill="1" applyBorder="1" applyAlignment="1">
      <alignment horizontal="center" vertical="center"/>
    </xf>
    <xf numFmtId="0" fontId="2" fillId="0" borderId="0" xfId="5" applyBorder="1"/>
    <xf numFmtId="0" fontId="5" fillId="0" borderId="0" xfId="5" applyFont="1" applyBorder="1" applyAlignment="1">
      <alignment horizontal="center" vertical="center"/>
    </xf>
    <xf numFmtId="0" fontId="2" fillId="0" borderId="0" xfId="5" applyBorder="1" applyAlignment="1">
      <alignment horizontal="center" vertical="center"/>
    </xf>
    <xf numFmtId="0" fontId="1" fillId="0" borderId="0" xfId="5" applyFont="1" applyBorder="1" applyAlignment="1">
      <alignment vertical="center" wrapText="1"/>
    </xf>
    <xf numFmtId="165" fontId="2" fillId="0" borderId="0" xfId="5" applyNumberFormat="1" applyBorder="1" applyAlignment="1">
      <alignment horizontal="center" vertical="center"/>
    </xf>
    <xf numFmtId="3" fontId="2" fillId="0" borderId="0" xfId="5" applyNumberFormat="1" applyBorder="1" applyAlignment="1">
      <alignment horizontal="center" vertical="center"/>
    </xf>
    <xf numFmtId="0" fontId="5" fillId="0" borderId="0" xfId="5" applyFont="1" applyBorder="1" applyAlignment="1">
      <alignment vertical="center" wrapText="1"/>
    </xf>
    <xf numFmtId="3" fontId="5" fillId="0" borderId="0" xfId="5" applyNumberFormat="1" applyFont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2" fillId="0" borderId="0" xfId="5" applyBorder="1" applyAlignment="1">
      <alignment wrapText="1"/>
    </xf>
    <xf numFmtId="4" fontId="15" fillId="0" borderId="1" xfId="0" applyNumberFormat="1" applyFont="1" applyBorder="1" applyAlignment="1">
      <alignment horizontal="center" vertical="center" wrapText="1"/>
    </xf>
    <xf numFmtId="167" fontId="15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7" fillId="0" borderId="12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right" indent="2"/>
    </xf>
    <xf numFmtId="0" fontId="6" fillId="0" borderId="19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9" fontId="5" fillId="0" borderId="21" xfId="0" applyNumberFormat="1" applyFont="1" applyBorder="1" applyAlignment="1">
      <alignment horizontal="center" vertical="center"/>
    </xf>
    <xf numFmtId="9" fontId="5" fillId="0" borderId="22" xfId="0" applyNumberFormat="1" applyFont="1" applyBorder="1" applyAlignment="1">
      <alignment horizontal="center" vertical="center"/>
    </xf>
    <xf numFmtId="9" fontId="5" fillId="0" borderId="23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left" vertical="center"/>
    </xf>
    <xf numFmtId="3" fontId="5" fillId="0" borderId="0" xfId="0" applyNumberFormat="1" applyFont="1" applyFill="1" applyBorder="1" applyAlignment="1">
      <alignment horizontal="center"/>
    </xf>
    <xf numFmtId="0" fontId="12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28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5" fillId="0" borderId="0" xfId="5" applyFont="1" applyAlignment="1">
      <alignment horizontal="center"/>
    </xf>
    <xf numFmtId="0" fontId="9" fillId="0" borderId="0" xfId="5" applyFont="1" applyAlignment="1">
      <alignment horizontal="center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3" fontId="9" fillId="0" borderId="24" xfId="0" applyNumberFormat="1" applyFont="1" applyBorder="1" applyAlignment="1">
      <alignment horizontal="center"/>
    </xf>
    <xf numFmtId="3" fontId="9" fillId="0" borderId="8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166" fontId="9" fillId="0" borderId="8" xfId="0" applyNumberFormat="1" applyFont="1" applyBorder="1" applyAlignment="1">
      <alignment horizontal="center"/>
    </xf>
    <xf numFmtId="0" fontId="13" fillId="0" borderId="24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/>
    </xf>
    <xf numFmtId="3" fontId="12" fillId="0" borderId="38" xfId="0" applyNumberFormat="1" applyFont="1" applyBorder="1" applyAlignment="1">
      <alignment horizontal="center" vertical="center"/>
    </xf>
    <xf numFmtId="166" fontId="12" fillId="0" borderId="38" xfId="0" applyNumberFormat="1" applyFont="1" applyBorder="1" applyAlignment="1">
      <alignment horizontal="center" vertical="center"/>
    </xf>
    <xf numFmtId="165" fontId="9" fillId="0" borderId="8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3" fontId="8" fillId="0" borderId="0" xfId="0" applyNumberFormat="1" applyFont="1" applyAlignment="1">
      <alignment horizontal="center"/>
    </xf>
    <xf numFmtId="165" fontId="12" fillId="0" borderId="37" xfId="0" applyNumberFormat="1" applyFont="1" applyBorder="1" applyAlignment="1">
      <alignment horizontal="center" vertical="center"/>
    </xf>
    <xf numFmtId="3" fontId="12" fillId="0" borderId="37" xfId="0" applyNumberFormat="1" applyFont="1" applyBorder="1" applyAlignment="1">
      <alignment horizontal="center" vertical="center"/>
    </xf>
    <xf numFmtId="166" fontId="12" fillId="0" borderId="37" xfId="0" applyNumberFormat="1" applyFont="1" applyBorder="1" applyAlignment="1">
      <alignment horizontal="center" vertical="center"/>
    </xf>
    <xf numFmtId="165" fontId="12" fillId="0" borderId="38" xfId="0" applyNumberFormat="1" applyFont="1" applyBorder="1" applyAlignment="1">
      <alignment horizontal="center" vertical="center"/>
    </xf>
    <xf numFmtId="4" fontId="12" fillId="0" borderId="38" xfId="0" applyNumberFormat="1" applyFont="1" applyBorder="1" applyAlignment="1">
      <alignment horizontal="center" vertical="center"/>
    </xf>
  </cellXfs>
  <cellStyles count="6">
    <cellStyle name="Обычный" xfId="0" builtinId="0"/>
    <cellStyle name="Обычный 2" xfId="1" xr:uid="{00000000-0005-0000-0000-000001000000}"/>
    <cellStyle name="Обычный 3" xfId="3" xr:uid="{00000000-0005-0000-0000-000002000000}"/>
    <cellStyle name="Обычный 4" xfId="5" xr:uid="{00000000-0005-0000-0000-000003000000}"/>
    <cellStyle name="Процентный 2" xfId="4" xr:uid="{00000000-0005-0000-0000-000004000000}"/>
    <cellStyle name="Финансовый 2" xfId="2" xr:uid="{00000000-0005-0000-0000-000005000000}"/>
  </cellStyles>
  <dxfs count="10">
    <dxf>
      <fill>
        <patternFill>
          <bgColor rgb="FFCCFFCC"/>
        </patternFill>
      </fill>
    </dxf>
    <dxf>
      <fill>
        <patternFill>
          <bgColor rgb="FFCCFFCC"/>
        </patternFill>
      </fill>
    </dxf>
    <dxf>
      <fill>
        <patternFill>
          <bgColor rgb="FFCCFFCC"/>
        </patternFill>
      </fill>
    </dxf>
    <dxf>
      <fill>
        <patternFill>
          <bgColor rgb="FFCCFFCC"/>
        </patternFill>
      </fill>
    </dxf>
    <dxf>
      <fill>
        <patternFill>
          <bgColor rgb="FFCCFFCC"/>
        </patternFill>
      </fill>
    </dxf>
    <dxf>
      <fill>
        <patternFill>
          <bgColor rgb="FFCCFFCC"/>
        </patternFill>
      </fill>
    </dxf>
    <dxf>
      <fill>
        <patternFill>
          <bgColor rgb="FFCCFFCC"/>
        </patternFill>
      </fill>
    </dxf>
    <dxf>
      <fill>
        <patternFill>
          <bgColor rgb="FFCCFFCC"/>
        </patternFill>
      </fill>
    </dxf>
    <dxf>
      <fill>
        <patternFill>
          <bgColor rgb="FFCCFFCC"/>
        </patternFill>
      </fill>
    </dxf>
    <dxf>
      <fill>
        <patternFill>
          <bgColor rgb="FFCCFFCC"/>
        </patternFill>
      </fill>
    </dxf>
  </dxfs>
  <tableStyles count="0" defaultTableStyle="TableStyleMedium2" defaultPivotStyle="PivotStyleLight16"/>
  <colors>
    <mruColors>
      <color rgb="FFCCFFCC"/>
      <color rgb="FF66FF66"/>
      <color rgb="FFFFFF99"/>
      <color rgb="FFFFCCFF"/>
      <color rgb="FF99FF66"/>
      <color rgb="FFCCECFF"/>
      <color rgb="FF006600"/>
      <color rgb="FF00CC00"/>
      <color rgb="FF99FF99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6600"/>
  </sheetPr>
  <dimension ref="B1:H57"/>
  <sheetViews>
    <sheetView showZeros="0" tabSelected="1" zoomScale="115" zoomScaleNormal="115" workbookViewId="0">
      <selection activeCell="I6" sqref="I6"/>
    </sheetView>
  </sheetViews>
  <sheetFormatPr defaultColWidth="9.140625" defaultRowHeight="15.75" x14ac:dyDescent="0.25"/>
  <cols>
    <col min="1" max="1" width="0.5703125" style="1" customWidth="1"/>
    <col min="2" max="2" width="55.7109375" style="1" customWidth="1"/>
    <col min="3" max="4" width="10.7109375" style="1" customWidth="1"/>
    <col min="5" max="5" width="10.7109375" style="3" customWidth="1"/>
    <col min="6" max="6" width="0.5703125" style="1" customWidth="1"/>
    <col min="7" max="16384" width="9.140625" style="1"/>
  </cols>
  <sheetData>
    <row r="1" spans="2:5" x14ac:dyDescent="0.25">
      <c r="C1" s="144" t="s">
        <v>24</v>
      </c>
      <c r="D1" s="144"/>
      <c r="E1" s="144"/>
    </row>
    <row r="2" spans="2:5" x14ac:dyDescent="0.25">
      <c r="C2" s="143" t="s">
        <v>25</v>
      </c>
      <c r="D2" s="143"/>
      <c r="E2" s="143"/>
    </row>
    <row r="3" spans="2:5" x14ac:dyDescent="0.25">
      <c r="C3" s="143" t="s">
        <v>26</v>
      </c>
      <c r="D3" s="143"/>
      <c r="E3" s="143"/>
    </row>
    <row r="4" spans="2:5" ht="54.95" customHeight="1" x14ac:dyDescent="0.25">
      <c r="C4" s="145"/>
      <c r="D4" s="145"/>
      <c r="E4" s="145"/>
    </row>
    <row r="5" spans="2:5" x14ac:dyDescent="0.25">
      <c r="C5" s="146" t="s">
        <v>30</v>
      </c>
      <c r="D5" s="146"/>
      <c r="E5" s="146"/>
    </row>
    <row r="6" spans="2:5" x14ac:dyDescent="0.25">
      <c r="C6" s="39"/>
      <c r="D6" s="39"/>
      <c r="E6" s="39"/>
    </row>
    <row r="7" spans="2:5" ht="24.95" customHeight="1" x14ac:dyDescent="0.25">
      <c r="C7" s="143" t="s">
        <v>87</v>
      </c>
      <c r="D7" s="143"/>
      <c r="E7" s="143"/>
    </row>
    <row r="8" spans="2:5" s="40" customFormat="1" ht="11.25" x14ac:dyDescent="0.2">
      <c r="E8" s="41"/>
    </row>
    <row r="9" spans="2:5" s="40" customFormat="1" ht="11.25" x14ac:dyDescent="0.2">
      <c r="E9" s="41"/>
    </row>
    <row r="10" spans="2:5" s="40" customFormat="1" ht="11.25" x14ac:dyDescent="0.2">
      <c r="E10" s="41"/>
    </row>
    <row r="11" spans="2:5" x14ac:dyDescent="0.25">
      <c r="B11" s="138" t="s">
        <v>107</v>
      </c>
      <c r="C11" s="138"/>
      <c r="D11" s="138"/>
      <c r="E11" s="138"/>
    </row>
    <row r="12" spans="2:5" x14ac:dyDescent="0.25">
      <c r="B12" s="139" t="s">
        <v>91</v>
      </c>
      <c r="C12" s="139"/>
      <c r="D12" s="139"/>
      <c r="E12" s="139"/>
    </row>
    <row r="13" spans="2:5" x14ac:dyDescent="0.25">
      <c r="B13" s="139" t="s">
        <v>92</v>
      </c>
      <c r="C13" s="139"/>
      <c r="D13" s="139"/>
      <c r="E13" s="139"/>
    </row>
    <row r="15" spans="2:5" s="40" customFormat="1" ht="11.25" x14ac:dyDescent="0.2">
      <c r="C15" s="42"/>
      <c r="D15" s="42"/>
      <c r="E15" s="41"/>
    </row>
    <row r="16" spans="2:5" x14ac:dyDescent="0.25">
      <c r="B16" s="140" t="s">
        <v>93</v>
      </c>
      <c r="C16" s="140"/>
      <c r="D16" s="140"/>
      <c r="E16" s="140"/>
    </row>
    <row r="17" spans="2:8" x14ac:dyDescent="0.25">
      <c r="B17" s="140" t="s">
        <v>94</v>
      </c>
      <c r="C17" s="140"/>
      <c r="D17" s="140"/>
      <c r="E17" s="140"/>
    </row>
    <row r="18" spans="2:8" x14ac:dyDescent="0.25">
      <c r="B18" s="99"/>
      <c r="C18" s="99"/>
      <c r="D18" s="99"/>
      <c r="E18" s="99"/>
    </row>
    <row r="19" spans="2:8" x14ac:dyDescent="0.25">
      <c r="B19" s="33" t="s">
        <v>33</v>
      </c>
      <c r="C19" s="141">
        <f>'Анализ ЭЭ'!D18</f>
        <v>933927.29060158099</v>
      </c>
      <c r="D19" s="141"/>
      <c r="E19" s="4" t="s">
        <v>34</v>
      </c>
    </row>
    <row r="20" spans="2:8" s="35" customFormat="1" ht="15" x14ac:dyDescent="0.25">
      <c r="B20" s="142" t="s">
        <v>40</v>
      </c>
      <c r="C20" s="142"/>
      <c r="D20" s="142"/>
      <c r="E20" s="142"/>
      <c r="H20" s="121"/>
    </row>
    <row r="21" spans="2:8" x14ac:dyDescent="0.25">
      <c r="B21" s="142"/>
      <c r="C21" s="142"/>
      <c r="D21" s="142"/>
      <c r="E21" s="142"/>
    </row>
    <row r="22" spans="2:8" s="40" customFormat="1" ht="11.25" x14ac:dyDescent="0.2">
      <c r="C22" s="42"/>
      <c r="D22" s="42"/>
      <c r="E22" s="41"/>
    </row>
    <row r="23" spans="2:8" x14ac:dyDescent="0.25">
      <c r="B23" s="125" t="s">
        <v>23</v>
      </c>
      <c r="C23" s="125"/>
      <c r="D23" s="125"/>
      <c r="E23" s="125"/>
    </row>
    <row r="24" spans="2:8" ht="5.0999999999999996" customHeight="1" thickBot="1" x14ac:dyDescent="0.3"/>
    <row r="25" spans="2:8" ht="16.5" thickBot="1" x14ac:dyDescent="0.3">
      <c r="B25" s="5" t="s">
        <v>0</v>
      </c>
      <c r="C25" s="6" t="s">
        <v>3</v>
      </c>
      <c r="D25" s="7" t="s">
        <v>4</v>
      </c>
      <c r="E25" s="8" t="s">
        <v>5</v>
      </c>
    </row>
    <row r="26" spans="2:8" x14ac:dyDescent="0.25">
      <c r="B26" s="9" t="s">
        <v>32</v>
      </c>
      <c r="C26" s="10">
        <v>0.3</v>
      </c>
      <c r="D26" s="11">
        <v>0.25</v>
      </c>
      <c r="E26" s="12">
        <v>0.1</v>
      </c>
    </row>
    <row r="27" spans="2:8" x14ac:dyDescent="0.25">
      <c r="B27" s="13" t="s">
        <v>1</v>
      </c>
      <c r="C27" s="14">
        <v>0.2</v>
      </c>
      <c r="D27" s="15">
        <v>0.15</v>
      </c>
      <c r="E27" s="16">
        <v>0.05</v>
      </c>
    </row>
    <row r="28" spans="2:8" ht="16.5" thickBot="1" x14ac:dyDescent="0.3">
      <c r="B28" s="17" t="s">
        <v>2</v>
      </c>
      <c r="C28" s="100">
        <v>0.5</v>
      </c>
      <c r="D28" s="18">
        <v>0.3</v>
      </c>
      <c r="E28" s="19">
        <v>0.2</v>
      </c>
    </row>
    <row r="29" spans="2:8" ht="16.5" thickBot="1" x14ac:dyDescent="0.3">
      <c r="B29" s="20" t="s">
        <v>11</v>
      </c>
      <c r="C29" s="21">
        <f>SUM(C26:C28)</f>
        <v>1</v>
      </c>
      <c r="D29" s="22">
        <f t="shared" ref="D29:E29" si="0">SUM(D26:D28)</f>
        <v>0.7</v>
      </c>
      <c r="E29" s="23">
        <f t="shared" si="0"/>
        <v>0.35000000000000003</v>
      </c>
    </row>
    <row r="30" spans="2:8" ht="9.9499999999999993" customHeight="1" x14ac:dyDescent="0.25">
      <c r="C30" s="2"/>
      <c r="D30" s="2"/>
    </row>
    <row r="31" spans="2:8" x14ac:dyDescent="0.25">
      <c r="B31" s="125" t="s">
        <v>22</v>
      </c>
      <c r="C31" s="125"/>
      <c r="D31" s="125"/>
      <c r="E31" s="125"/>
    </row>
    <row r="32" spans="2:8" ht="5.0999999999999996" customHeight="1" thickBot="1" x14ac:dyDescent="0.3"/>
    <row r="33" spans="2:5" ht="16.5" thickBot="1" x14ac:dyDescent="0.3">
      <c r="B33" s="5" t="s">
        <v>0</v>
      </c>
      <c r="C33" s="24" t="s">
        <v>3</v>
      </c>
      <c r="D33" s="7" t="s">
        <v>4</v>
      </c>
      <c r="E33" s="8" t="s">
        <v>5</v>
      </c>
    </row>
    <row r="34" spans="2:5" x14ac:dyDescent="0.25">
      <c r="B34" s="9" t="str">
        <f>B26</f>
        <v>1. Логика проекта</v>
      </c>
      <c r="C34" s="25">
        <v>0.3</v>
      </c>
      <c r="D34" s="11"/>
      <c r="E34" s="12"/>
    </row>
    <row r="35" spans="2:5" x14ac:dyDescent="0.25">
      <c r="B35" s="13" t="str">
        <f t="shared" ref="B35:B36" si="1">B27</f>
        <v>2. Коэффициент точности данных</v>
      </c>
      <c r="C35" s="26"/>
      <c r="D35" s="15">
        <v>0.15</v>
      </c>
      <c r="E35" s="16"/>
    </row>
    <row r="36" spans="2:5" ht="16.5" thickBot="1" x14ac:dyDescent="0.3">
      <c r="B36" s="17" t="str">
        <f t="shared" si="1"/>
        <v>3. Коэффициент экономического эффекта</v>
      </c>
      <c r="C36" s="27">
        <v>0.5</v>
      </c>
      <c r="D36" s="18"/>
      <c r="E36" s="19"/>
    </row>
    <row r="37" spans="2:5" ht="16.5" thickBot="1" x14ac:dyDescent="0.3">
      <c r="B37" s="20" t="s">
        <v>11</v>
      </c>
      <c r="C37" s="135">
        <f>SUM(C34:E36)</f>
        <v>0.95</v>
      </c>
      <c r="D37" s="136"/>
      <c r="E37" s="137"/>
    </row>
    <row r="38" spans="2:5" ht="9.9499999999999993" customHeight="1" x14ac:dyDescent="0.25"/>
    <row r="39" spans="2:5" x14ac:dyDescent="0.25">
      <c r="B39" s="125" t="s">
        <v>17</v>
      </c>
      <c r="C39" s="125"/>
      <c r="D39" s="125"/>
      <c r="E39" s="125"/>
    </row>
    <row r="40" spans="2:5" ht="5.0999999999999996" customHeight="1" thickBot="1" x14ac:dyDescent="0.3"/>
    <row r="41" spans="2:5" ht="16.5" thickBot="1" x14ac:dyDescent="0.3">
      <c r="B41" s="5" t="s">
        <v>10</v>
      </c>
      <c r="C41" s="126" t="s">
        <v>9</v>
      </c>
      <c r="D41" s="127"/>
      <c r="E41" s="8" t="s">
        <v>12</v>
      </c>
    </row>
    <row r="42" spans="2:5" x14ac:dyDescent="0.25">
      <c r="B42" s="9" t="s">
        <v>6</v>
      </c>
      <c r="C42" s="128" t="s">
        <v>41</v>
      </c>
      <c r="D42" s="129"/>
      <c r="E42" s="28">
        <f>IF(C37&lt;0.35,0,IF(C37&lt;0.551,0.04,0))</f>
        <v>0</v>
      </c>
    </row>
    <row r="43" spans="2:5" x14ac:dyDescent="0.25">
      <c r="B43" s="13" t="s">
        <v>19</v>
      </c>
      <c r="C43" s="130" t="s">
        <v>42</v>
      </c>
      <c r="D43" s="131"/>
      <c r="E43" s="29">
        <f>IF(C37&lt;0.551,0,IF(C37&lt;0.751,0.06,0))</f>
        <v>0</v>
      </c>
    </row>
    <row r="44" spans="2:5" x14ac:dyDescent="0.25">
      <c r="B44" s="13" t="s">
        <v>7</v>
      </c>
      <c r="C44" s="130" t="s">
        <v>43</v>
      </c>
      <c r="D44" s="131"/>
      <c r="E44" s="29">
        <f>IF(C37&lt;0.751,0,IF(C37&lt;0.851,0.08,0))</f>
        <v>0</v>
      </c>
    </row>
    <row r="45" spans="2:5" ht="16.5" thickBot="1" x14ac:dyDescent="0.3">
      <c r="B45" s="30" t="s">
        <v>8</v>
      </c>
      <c r="C45" s="133" t="s">
        <v>18</v>
      </c>
      <c r="D45" s="134"/>
      <c r="E45" s="31">
        <f>IF(C37&lt;0.851,0,0.1)</f>
        <v>0.1</v>
      </c>
    </row>
    <row r="46" spans="2:5" ht="9.9499999999999993" customHeight="1" x14ac:dyDescent="0.25"/>
    <row r="47" spans="2:5" x14ac:dyDescent="0.25">
      <c r="B47" s="132" t="s">
        <v>28</v>
      </c>
      <c r="C47" s="132"/>
      <c r="D47" s="38">
        <f>ROUND(SUM(C19:C19)*SUM(E42:E45),0)</f>
        <v>93393</v>
      </c>
      <c r="E47" s="2" t="s">
        <v>20</v>
      </c>
    </row>
    <row r="48" spans="2:5" s="43" customFormat="1" ht="9.9499999999999993" customHeight="1" x14ac:dyDescent="0.2">
      <c r="E48" s="44"/>
    </row>
    <row r="49" spans="2:5" s="43" customFormat="1" ht="9.9499999999999993" customHeight="1" x14ac:dyDescent="0.2">
      <c r="E49" s="44"/>
    </row>
    <row r="50" spans="2:5" s="43" customFormat="1" ht="9.9499999999999993" customHeight="1" x14ac:dyDescent="0.2">
      <c r="E50" s="44"/>
    </row>
    <row r="51" spans="2:5" x14ac:dyDescent="0.25">
      <c r="B51" s="32" t="s">
        <v>15</v>
      </c>
      <c r="D51" s="32" t="s">
        <v>21</v>
      </c>
      <c r="E51" s="4"/>
    </row>
    <row r="52" spans="2:5" s="43" customFormat="1" ht="9.9499999999999993" customHeight="1" x14ac:dyDescent="0.2">
      <c r="E52" s="44"/>
    </row>
    <row r="53" spans="2:5" s="43" customFormat="1" ht="9.9499999999999993" customHeight="1" x14ac:dyDescent="0.2">
      <c r="E53" s="44"/>
    </row>
    <row r="54" spans="2:5" s="35" customFormat="1" ht="15" hidden="1" x14ac:dyDescent="0.25">
      <c r="B54" s="34" t="s">
        <v>16</v>
      </c>
      <c r="C54" s="34"/>
      <c r="D54" s="34"/>
      <c r="E54" s="34"/>
    </row>
    <row r="55" spans="2:5" s="35" customFormat="1" ht="5.0999999999999996" hidden="1" customHeight="1" x14ac:dyDescent="0.25">
      <c r="E55" s="36"/>
    </row>
    <row r="56" spans="2:5" s="35" customFormat="1" ht="15" hidden="1" x14ac:dyDescent="0.25">
      <c r="B56" s="37" t="s">
        <v>14</v>
      </c>
      <c r="D56" s="37" t="s">
        <v>13</v>
      </c>
      <c r="E56" s="37"/>
    </row>
    <row r="57" spans="2:5" s="35" customFormat="1" ht="15" hidden="1" x14ac:dyDescent="0.25">
      <c r="B57" s="35" t="s">
        <v>27</v>
      </c>
      <c r="E57" s="36"/>
    </row>
  </sheetData>
  <mergeCells count="24">
    <mergeCell ref="C7:E7"/>
    <mergeCell ref="C1:E1"/>
    <mergeCell ref="C2:E2"/>
    <mergeCell ref="C3:E3"/>
    <mergeCell ref="C4:E4"/>
    <mergeCell ref="C5:E5"/>
    <mergeCell ref="C37:E37"/>
    <mergeCell ref="B11:E11"/>
    <mergeCell ref="B12:E12"/>
    <mergeCell ref="B23:E23"/>
    <mergeCell ref="B31:E31"/>
    <mergeCell ref="B16:E16"/>
    <mergeCell ref="B13:E13"/>
    <mergeCell ref="C19:D19"/>
    <mergeCell ref="B17:E17"/>
    <mergeCell ref="B20:E20"/>
    <mergeCell ref="B21:E21"/>
    <mergeCell ref="B39:E39"/>
    <mergeCell ref="C41:D41"/>
    <mergeCell ref="C42:D42"/>
    <mergeCell ref="C44:D44"/>
    <mergeCell ref="B47:C47"/>
    <mergeCell ref="C45:D45"/>
    <mergeCell ref="C43:D43"/>
  </mergeCells>
  <conditionalFormatting sqref="C34:E36">
    <cfRule type="cellIs" dxfId="9" priority="10" operator="greaterThan">
      <formula>0</formula>
    </cfRule>
  </conditionalFormatting>
  <conditionalFormatting sqref="C26">
    <cfRule type="cellIs" dxfId="8" priority="9" operator="equal">
      <formula>$C$34</formula>
    </cfRule>
  </conditionalFormatting>
  <conditionalFormatting sqref="C27">
    <cfRule type="cellIs" dxfId="7" priority="8" operator="equal">
      <formula>$C$35</formula>
    </cfRule>
  </conditionalFormatting>
  <conditionalFormatting sqref="C28">
    <cfRule type="cellIs" dxfId="6" priority="7" operator="equal">
      <formula>$C$36</formula>
    </cfRule>
  </conditionalFormatting>
  <conditionalFormatting sqref="D26">
    <cfRule type="cellIs" dxfId="5" priority="6" operator="equal">
      <formula>$D$34</formula>
    </cfRule>
  </conditionalFormatting>
  <conditionalFormatting sqref="D27">
    <cfRule type="cellIs" dxfId="4" priority="5" operator="equal">
      <formula>$D$35</formula>
    </cfRule>
  </conditionalFormatting>
  <conditionalFormatting sqref="D28">
    <cfRule type="cellIs" dxfId="3" priority="4" operator="equal">
      <formula>$D$36</formula>
    </cfRule>
  </conditionalFormatting>
  <conditionalFormatting sqref="E26">
    <cfRule type="cellIs" dxfId="2" priority="3" operator="equal">
      <formula>$E$34</formula>
    </cfRule>
  </conditionalFormatting>
  <conditionalFormatting sqref="E27">
    <cfRule type="cellIs" dxfId="1" priority="2" operator="equal">
      <formula>$E$35</formula>
    </cfRule>
  </conditionalFormatting>
  <conditionalFormatting sqref="E28">
    <cfRule type="cellIs" dxfId="0" priority="1" operator="equal">
      <formula>$E$36</formula>
    </cfRule>
  </conditionalFormatting>
  <printOptions horizontalCentered="1"/>
  <pageMargins left="0.78740157480314965" right="0.39370078740157483" top="0.39370078740157483" bottom="0.39370078740157483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18"/>
  <sheetViews>
    <sheetView workbookViewId="0">
      <selection activeCell="D19" sqref="D19"/>
    </sheetView>
  </sheetViews>
  <sheetFormatPr defaultColWidth="9.140625" defaultRowHeight="15.75" x14ac:dyDescent="0.25"/>
  <cols>
    <col min="1" max="1" width="0.5703125" style="45" customWidth="1"/>
    <col min="2" max="2" width="4.85546875" style="45" customWidth="1"/>
    <col min="3" max="3" width="16" style="45" customWidth="1"/>
    <col min="4" max="4" width="13.28515625" style="98" customWidth="1"/>
    <col min="5" max="5" width="13.7109375" style="45" customWidth="1"/>
    <col min="6" max="6" width="14.140625" style="45" customWidth="1"/>
    <col min="7" max="7" width="17.28515625" style="45" customWidth="1"/>
    <col min="8" max="8" width="15.28515625" style="45" customWidth="1"/>
    <col min="9" max="9" width="14.28515625" style="45" customWidth="1"/>
    <col min="10" max="10" width="12.42578125" style="45" customWidth="1"/>
    <col min="11" max="11" width="14.85546875" style="45" customWidth="1"/>
    <col min="12" max="12" width="18" style="45" customWidth="1"/>
    <col min="13" max="13" width="17.5703125" style="45" customWidth="1"/>
    <col min="14" max="16384" width="9.140625" style="45"/>
  </cols>
  <sheetData>
    <row r="1" spans="2:13" x14ac:dyDescent="0.25">
      <c r="B1" s="147" t="s">
        <v>39</v>
      </c>
      <c r="C1" s="147"/>
      <c r="D1" s="147"/>
      <c r="E1" s="147"/>
      <c r="F1" s="147"/>
      <c r="G1" s="147"/>
      <c r="H1" s="147"/>
      <c r="I1" s="147"/>
    </row>
    <row r="2" spans="2:13" x14ac:dyDescent="0.25">
      <c r="B2" s="147" t="s">
        <v>95</v>
      </c>
      <c r="C2" s="147"/>
      <c r="D2" s="147"/>
      <c r="E2" s="147"/>
      <c r="F2" s="147"/>
      <c r="G2" s="147"/>
      <c r="H2" s="147"/>
      <c r="I2" s="147"/>
    </row>
    <row r="3" spans="2:13" x14ac:dyDescent="0.25">
      <c r="B3" s="148" t="s">
        <v>88</v>
      </c>
      <c r="C3" s="148"/>
      <c r="D3" s="148"/>
      <c r="E3" s="148"/>
      <c r="F3" s="148"/>
      <c r="G3" s="148"/>
      <c r="H3" s="148"/>
      <c r="I3" s="148"/>
    </row>
    <row r="5" spans="2:13" x14ac:dyDescent="0.25">
      <c r="B5" s="148"/>
      <c r="C5" s="148"/>
      <c r="D5" s="148"/>
      <c r="E5" s="148"/>
      <c r="F5" s="148"/>
      <c r="G5" s="148"/>
      <c r="H5" s="148"/>
      <c r="I5" s="148"/>
    </row>
    <row r="6" spans="2:13" ht="5.0999999999999996" customHeight="1" x14ac:dyDescent="0.25"/>
    <row r="7" spans="2:13" s="122" customFormat="1" ht="63" x14ac:dyDescent="0.25">
      <c r="B7" s="101" t="s">
        <v>89</v>
      </c>
      <c r="C7" s="101" t="s">
        <v>98</v>
      </c>
      <c r="D7" s="101" t="s">
        <v>96</v>
      </c>
      <c r="E7" s="101" t="s">
        <v>99</v>
      </c>
      <c r="F7" s="101" t="s">
        <v>97</v>
      </c>
      <c r="G7" s="101" t="s">
        <v>100</v>
      </c>
      <c r="H7" s="101" t="s">
        <v>101</v>
      </c>
      <c r="I7" s="101" t="s">
        <v>102</v>
      </c>
      <c r="J7" s="101" t="s">
        <v>103</v>
      </c>
      <c r="K7" s="101" t="s">
        <v>104</v>
      </c>
      <c r="L7" s="101" t="s">
        <v>105</v>
      </c>
      <c r="M7" s="101" t="s">
        <v>106</v>
      </c>
    </row>
    <row r="8" spans="2:13" s="115" customFormat="1" x14ac:dyDescent="0.25">
      <c r="B8" s="102">
        <v>1</v>
      </c>
      <c r="C8" s="124">
        <v>900</v>
      </c>
      <c r="D8" s="104">
        <v>11.8</v>
      </c>
      <c r="E8" s="106">
        <f>C8*D8%</f>
        <v>106.2</v>
      </c>
      <c r="F8" s="109">
        <v>1.4E-2</v>
      </c>
      <c r="G8" s="109">
        <f>E8*F8%</f>
        <v>1.4868000000000003E-2</v>
      </c>
      <c r="H8" s="105">
        <v>4023</v>
      </c>
      <c r="I8" s="106">
        <f>G8*H8</f>
        <v>59.813964000000013</v>
      </c>
      <c r="J8" s="123">
        <v>19.16</v>
      </c>
      <c r="K8" s="106">
        <f>I8*J8%</f>
        <v>11.460355502400002</v>
      </c>
      <c r="L8" s="105">
        <v>81492</v>
      </c>
      <c r="M8" s="105">
        <f>L8*K8</f>
        <v>933927.29060158099</v>
      </c>
    </row>
    <row r="9" spans="2:13" s="113" customFormat="1" x14ac:dyDescent="0.25">
      <c r="B9" s="102"/>
      <c r="C9" s="103"/>
      <c r="D9" s="104"/>
      <c r="E9" s="107"/>
      <c r="F9" s="108"/>
      <c r="G9" s="107"/>
      <c r="H9" s="107"/>
      <c r="I9" s="107"/>
      <c r="J9" s="107"/>
      <c r="K9" s="107"/>
      <c r="L9" s="107"/>
      <c r="M9" s="107"/>
    </row>
    <row r="10" spans="2:13" s="113" customFormat="1" x14ac:dyDescent="0.25">
      <c r="B10" s="102"/>
      <c r="C10" s="103"/>
      <c r="D10" s="104"/>
      <c r="E10" s="105"/>
      <c r="F10" s="105"/>
      <c r="G10" s="109"/>
      <c r="H10" s="109"/>
      <c r="I10" s="109"/>
      <c r="J10" s="109"/>
      <c r="K10" s="109"/>
      <c r="L10" s="109"/>
      <c r="M10" s="109"/>
    </row>
    <row r="11" spans="2:13" s="113" customFormat="1" x14ac:dyDescent="0.25">
      <c r="B11" s="110"/>
      <c r="C11" s="111" t="s">
        <v>90</v>
      </c>
      <c r="D11" s="110"/>
      <c r="E11" s="112"/>
      <c r="F11" s="112"/>
      <c r="G11" s="112"/>
      <c r="H11" s="112"/>
      <c r="I11" s="112"/>
      <c r="J11" s="112"/>
      <c r="K11" s="112"/>
      <c r="L11" s="112"/>
      <c r="M11" s="112">
        <f>M8</f>
        <v>933927.29060158099</v>
      </c>
    </row>
    <row r="12" spans="2:13" s="113" customFormat="1" x14ac:dyDescent="0.25">
      <c r="B12" s="115"/>
      <c r="C12" s="116"/>
      <c r="D12" s="117"/>
      <c r="E12" s="118"/>
      <c r="F12" s="116"/>
      <c r="G12" s="118"/>
      <c r="H12" s="118"/>
      <c r="I12" s="118"/>
    </row>
    <row r="13" spans="2:13" s="113" customFormat="1" ht="21" customHeight="1" x14ac:dyDescent="0.25">
      <c r="B13" s="114"/>
      <c r="C13" s="119"/>
      <c r="D13" s="120"/>
      <c r="E13" s="120"/>
      <c r="F13" s="120"/>
      <c r="G13" s="120"/>
      <c r="H13" s="120"/>
      <c r="I13" s="120"/>
    </row>
    <row r="14" spans="2:13" s="113" customFormat="1" ht="21" customHeight="1" x14ac:dyDescent="0.25">
      <c r="B14" s="114"/>
      <c r="C14" s="119"/>
      <c r="D14" s="120"/>
      <c r="E14" s="120"/>
      <c r="F14" s="120"/>
      <c r="G14" s="120"/>
      <c r="H14" s="120"/>
      <c r="I14" s="120"/>
    </row>
    <row r="16" spans="2:13" x14ac:dyDescent="0.25">
      <c r="B16" s="46"/>
      <c r="C16" s="47" t="s">
        <v>38</v>
      </c>
      <c r="D16" s="97"/>
    </row>
    <row r="17" spans="2:4" ht="5.0999999999999996" customHeight="1" thickBot="1" x14ac:dyDescent="0.3"/>
    <row r="18" spans="2:4" ht="24.95" customHeight="1" thickBot="1" x14ac:dyDescent="0.3">
      <c r="B18" s="48"/>
      <c r="C18" s="49" t="s">
        <v>31</v>
      </c>
      <c r="D18" s="50">
        <f>M11</f>
        <v>933927.29060158099</v>
      </c>
    </row>
  </sheetData>
  <mergeCells count="4">
    <mergeCell ref="B1:I1"/>
    <mergeCell ref="B2:I2"/>
    <mergeCell ref="B3:I3"/>
    <mergeCell ref="B5:I5"/>
  </mergeCells>
  <printOptions horizontalCentered="1"/>
  <pageMargins left="0.98425196850393704" right="0.39370078740157483" top="0.39370078740157483" bottom="0.39370078740157483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N33"/>
  <sheetViews>
    <sheetView workbookViewId="0"/>
  </sheetViews>
  <sheetFormatPr defaultColWidth="9.140625" defaultRowHeight="15" x14ac:dyDescent="0.25"/>
  <cols>
    <col min="1" max="1" width="0.5703125" style="35" customWidth="1"/>
    <col min="2" max="2" width="5.7109375" style="35" customWidth="1"/>
    <col min="3" max="3" width="35.7109375" style="35" customWidth="1"/>
    <col min="4" max="14" width="9.7109375" style="35" customWidth="1"/>
    <col min="15" max="15" width="0.5703125" style="35" customWidth="1"/>
    <col min="16" max="16384" width="9.140625" style="35"/>
  </cols>
  <sheetData>
    <row r="1" spans="2:14" x14ac:dyDescent="0.25">
      <c r="B1" s="160" t="s">
        <v>79</v>
      </c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</row>
    <row r="3" spans="2:14" x14ac:dyDescent="0.25">
      <c r="B3" s="51" t="s">
        <v>60</v>
      </c>
    </row>
    <row r="4" spans="2:14" ht="5.0999999999999996" customHeight="1" thickBot="1" x14ac:dyDescent="0.3"/>
    <row r="5" spans="2:14" ht="29.25" thickBot="1" x14ac:dyDescent="0.3">
      <c r="B5" s="54" t="s">
        <v>29</v>
      </c>
      <c r="C5" s="55" t="s">
        <v>44</v>
      </c>
      <c r="D5" s="57" t="s">
        <v>45</v>
      </c>
      <c r="E5" s="56" t="s">
        <v>46</v>
      </c>
      <c r="F5" s="55" t="s">
        <v>47</v>
      </c>
      <c r="G5" s="55" t="s">
        <v>48</v>
      </c>
      <c r="H5" s="55" t="s">
        <v>49</v>
      </c>
      <c r="I5" s="55" t="s">
        <v>50</v>
      </c>
      <c r="J5" s="55" t="s">
        <v>51</v>
      </c>
      <c r="K5" s="55" t="s">
        <v>52</v>
      </c>
      <c r="L5" s="55" t="s">
        <v>53</v>
      </c>
      <c r="M5" s="60" t="s">
        <v>54</v>
      </c>
      <c r="N5" s="61" t="s">
        <v>55</v>
      </c>
    </row>
    <row r="6" spans="2:14" x14ac:dyDescent="0.25">
      <c r="B6" s="58">
        <v>1</v>
      </c>
      <c r="C6" s="53" t="s">
        <v>56</v>
      </c>
      <c r="D6" s="81" t="s">
        <v>66</v>
      </c>
      <c r="E6" s="65"/>
      <c r="F6" s="66">
        <v>70</v>
      </c>
      <c r="G6" s="66"/>
      <c r="H6" s="66"/>
      <c r="I6" s="66"/>
      <c r="J6" s="66"/>
      <c r="K6" s="66"/>
      <c r="L6" s="66">
        <v>30</v>
      </c>
      <c r="M6" s="67">
        <v>244</v>
      </c>
      <c r="N6" s="78">
        <f>SUM(E6:M6)</f>
        <v>344</v>
      </c>
    </row>
    <row r="7" spans="2:14" x14ac:dyDescent="0.25">
      <c r="B7" s="59">
        <v>2</v>
      </c>
      <c r="C7" s="52" t="s">
        <v>57</v>
      </c>
      <c r="D7" s="82" t="s">
        <v>66</v>
      </c>
      <c r="E7" s="68"/>
      <c r="F7" s="69">
        <v>10</v>
      </c>
      <c r="G7" s="69">
        <v>10</v>
      </c>
      <c r="H7" s="69">
        <v>10</v>
      </c>
      <c r="I7" s="69"/>
      <c r="J7" s="69"/>
      <c r="K7" s="69">
        <v>10</v>
      </c>
      <c r="L7" s="69">
        <v>10</v>
      </c>
      <c r="M7" s="70">
        <v>10</v>
      </c>
      <c r="N7" s="79">
        <f t="shared" ref="N7:N8" si="0">SUM(E7:M7)</f>
        <v>60</v>
      </c>
    </row>
    <row r="8" spans="2:14" ht="15.75" thickBot="1" x14ac:dyDescent="0.3">
      <c r="B8" s="62">
        <v>3</v>
      </c>
      <c r="C8" s="63" t="s">
        <v>58</v>
      </c>
      <c r="D8" s="83" t="s">
        <v>66</v>
      </c>
      <c r="E8" s="71"/>
      <c r="F8" s="72">
        <v>85</v>
      </c>
      <c r="G8" s="72">
        <v>15</v>
      </c>
      <c r="H8" s="72">
        <v>20</v>
      </c>
      <c r="I8" s="72"/>
      <c r="J8" s="72"/>
      <c r="K8" s="72">
        <v>35</v>
      </c>
      <c r="L8" s="72">
        <v>210</v>
      </c>
      <c r="M8" s="73">
        <v>40</v>
      </c>
      <c r="N8" s="80">
        <f t="shared" si="0"/>
        <v>405</v>
      </c>
    </row>
    <row r="9" spans="2:14" ht="15.75" thickBot="1" x14ac:dyDescent="0.3">
      <c r="B9" s="64"/>
      <c r="C9" s="55" t="s">
        <v>59</v>
      </c>
      <c r="D9" s="57" t="s">
        <v>66</v>
      </c>
      <c r="E9" s="74">
        <f>SUM(E6:E8)</f>
        <v>0</v>
      </c>
      <c r="F9" s="75">
        <f t="shared" ref="F9:N9" si="1">SUM(F6:F8)</f>
        <v>165</v>
      </c>
      <c r="G9" s="75">
        <f t="shared" si="1"/>
        <v>25</v>
      </c>
      <c r="H9" s="75">
        <f t="shared" si="1"/>
        <v>30</v>
      </c>
      <c r="I9" s="75">
        <f t="shared" si="1"/>
        <v>0</v>
      </c>
      <c r="J9" s="75">
        <f t="shared" si="1"/>
        <v>0</v>
      </c>
      <c r="K9" s="75">
        <f t="shared" si="1"/>
        <v>45</v>
      </c>
      <c r="L9" s="75">
        <f t="shared" si="1"/>
        <v>250</v>
      </c>
      <c r="M9" s="76">
        <f t="shared" si="1"/>
        <v>294</v>
      </c>
      <c r="N9" s="77">
        <f t="shared" si="1"/>
        <v>809</v>
      </c>
    </row>
    <row r="10" spans="2:14" ht="5.0999999999999996" customHeight="1" x14ac:dyDescent="0.25"/>
    <row r="11" spans="2:14" x14ac:dyDescent="0.25">
      <c r="B11" s="51" t="s">
        <v>67</v>
      </c>
    </row>
    <row r="12" spans="2:14" ht="5.0999999999999996" customHeight="1" x14ac:dyDescent="0.25">
      <c r="B12" s="51"/>
    </row>
    <row r="13" spans="2:14" x14ac:dyDescent="0.25">
      <c r="B13" s="85" t="s">
        <v>35</v>
      </c>
      <c r="C13" s="86" t="s">
        <v>68</v>
      </c>
      <c r="D13" s="86"/>
      <c r="E13" s="86"/>
      <c r="F13" s="86"/>
      <c r="G13" s="86"/>
      <c r="H13" s="86"/>
      <c r="I13" s="86"/>
      <c r="J13" s="86"/>
      <c r="K13" s="86"/>
      <c r="L13" s="86"/>
      <c r="M13" s="86">
        <v>90</v>
      </c>
      <c r="N13" s="86" t="s">
        <v>70</v>
      </c>
    </row>
    <row r="14" spans="2:14" ht="5.0999999999999996" customHeight="1" x14ac:dyDescent="0.25">
      <c r="B14" s="87"/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</row>
    <row r="15" spans="2:14" x14ac:dyDescent="0.25">
      <c r="B15" s="85" t="s">
        <v>36</v>
      </c>
      <c r="C15" s="86" t="s">
        <v>69</v>
      </c>
      <c r="D15" s="86"/>
      <c r="E15" s="86"/>
      <c r="F15" s="86"/>
      <c r="G15" s="86"/>
      <c r="H15" s="86"/>
      <c r="I15" s="86"/>
      <c r="J15" s="86"/>
      <c r="K15" s="86"/>
      <c r="L15" s="86"/>
      <c r="M15" s="86">
        <v>6</v>
      </c>
      <c r="N15" s="86" t="s">
        <v>71</v>
      </c>
    </row>
    <row r="16" spans="2:14" ht="5.0999999999999996" customHeight="1" x14ac:dyDescent="0.25">
      <c r="B16" s="88"/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</row>
    <row r="17" spans="2:14" x14ac:dyDescent="0.25">
      <c r="B17" s="85" t="s">
        <v>37</v>
      </c>
      <c r="C17" s="86" t="s">
        <v>72</v>
      </c>
      <c r="D17" s="86"/>
      <c r="E17" s="86"/>
      <c r="F17" s="86"/>
      <c r="G17" s="86"/>
      <c r="H17" s="86"/>
      <c r="I17" s="86"/>
      <c r="J17" s="86"/>
      <c r="K17" s="86"/>
      <c r="L17" s="86"/>
      <c r="M17" s="86">
        <v>50</v>
      </c>
      <c r="N17" s="86" t="s">
        <v>73</v>
      </c>
    </row>
    <row r="18" spans="2:14" x14ac:dyDescent="0.25">
      <c r="B18" s="89"/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</row>
    <row r="19" spans="2:14" x14ac:dyDescent="0.25">
      <c r="B19" s="51" t="s">
        <v>75</v>
      </c>
    </row>
    <row r="20" spans="2:14" ht="5.0999999999999996" customHeight="1" thickBot="1" x14ac:dyDescent="0.3"/>
    <row r="21" spans="2:14" s="43" customFormat="1" ht="60" customHeight="1" thickBot="1" x14ac:dyDescent="0.25">
      <c r="B21" s="155" t="s">
        <v>61</v>
      </c>
      <c r="C21" s="156"/>
      <c r="D21" s="149" t="s">
        <v>62</v>
      </c>
      <c r="E21" s="149"/>
      <c r="F21" s="149"/>
      <c r="G21" s="149" t="s">
        <v>85</v>
      </c>
      <c r="H21" s="149"/>
      <c r="I21" s="149" t="s">
        <v>86</v>
      </c>
      <c r="J21" s="149"/>
      <c r="K21" s="149" t="s">
        <v>84</v>
      </c>
      <c r="L21" s="149"/>
      <c r="M21" s="149" t="s">
        <v>65</v>
      </c>
      <c r="N21" s="150"/>
    </row>
    <row r="22" spans="2:14" ht="15.75" thickBot="1" x14ac:dyDescent="0.3">
      <c r="B22" s="151">
        <v>7</v>
      </c>
      <c r="C22" s="152"/>
      <c r="D22" s="152">
        <f>B22*M15</f>
        <v>42</v>
      </c>
      <c r="E22" s="152"/>
      <c r="F22" s="152"/>
      <c r="G22" s="152">
        <f>D22*M17</f>
        <v>2100</v>
      </c>
      <c r="H22" s="152"/>
      <c r="I22" s="152">
        <f>N7/10*D22*M17</f>
        <v>12600</v>
      </c>
      <c r="J22" s="152"/>
      <c r="K22" s="154">
        <v>61264.19</v>
      </c>
      <c r="L22" s="154"/>
      <c r="M22" s="152">
        <f>I22*K22/1000</f>
        <v>771928.79399999999</v>
      </c>
      <c r="N22" s="153"/>
    </row>
    <row r="23" spans="2:14" x14ac:dyDescent="0.25">
      <c r="B23" s="166">
        <f>600/90</f>
        <v>6.666666666666667</v>
      </c>
      <c r="C23" s="166"/>
      <c r="D23" s="157">
        <f>B23*M15</f>
        <v>40</v>
      </c>
      <c r="E23" s="157"/>
      <c r="F23" s="157"/>
      <c r="G23" s="157">
        <f>D23*$M$17</f>
        <v>2000</v>
      </c>
      <c r="H23" s="157"/>
      <c r="I23" s="157">
        <f>G23*N7/10</f>
        <v>12000</v>
      </c>
      <c r="J23" s="157"/>
      <c r="K23" s="158">
        <f>K22</f>
        <v>61264.19</v>
      </c>
      <c r="L23" s="158"/>
      <c r="M23" s="157">
        <f>I23*K23/1000</f>
        <v>735170.28</v>
      </c>
      <c r="N23" s="157"/>
    </row>
    <row r="24" spans="2:14" x14ac:dyDescent="0.25">
      <c r="B24" s="90" t="s">
        <v>76</v>
      </c>
      <c r="C24" s="91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</row>
    <row r="25" spans="2:14" ht="5.0999999999999996" customHeight="1" thickBot="1" x14ac:dyDescent="0.3"/>
    <row r="26" spans="2:14" s="43" customFormat="1" ht="60" customHeight="1" thickBot="1" x14ac:dyDescent="0.25">
      <c r="B26" s="155" t="s">
        <v>77</v>
      </c>
      <c r="C26" s="156"/>
      <c r="D26" s="149" t="s">
        <v>78</v>
      </c>
      <c r="E26" s="149"/>
      <c r="F26" s="149"/>
      <c r="G26" s="149" t="s">
        <v>63</v>
      </c>
      <c r="H26" s="149"/>
      <c r="I26" s="149" t="s">
        <v>64</v>
      </c>
      <c r="J26" s="149"/>
      <c r="K26" s="149" t="s">
        <v>74</v>
      </c>
      <c r="L26" s="149"/>
      <c r="M26" s="149" t="s">
        <v>65</v>
      </c>
      <c r="N26" s="150"/>
    </row>
    <row r="27" spans="2:14" ht="15.75" thickBot="1" x14ac:dyDescent="0.3">
      <c r="B27" s="151">
        <f>ROUND(N6*60/M13,0)</f>
        <v>229</v>
      </c>
      <c r="C27" s="152"/>
      <c r="D27" s="159">
        <f>B27*M15</f>
        <v>1374</v>
      </c>
      <c r="E27" s="159"/>
      <c r="F27" s="159"/>
      <c r="G27" s="152">
        <f>D27*M17</f>
        <v>68700</v>
      </c>
      <c r="H27" s="152"/>
      <c r="I27" s="152">
        <f>G27*M15</f>
        <v>412200</v>
      </c>
      <c r="J27" s="152"/>
      <c r="K27" s="154">
        <f>K22</f>
        <v>61264.19</v>
      </c>
      <c r="L27" s="154"/>
      <c r="M27" s="152">
        <f>I27*K27/1000</f>
        <v>25253099.118000001</v>
      </c>
      <c r="N27" s="153"/>
    </row>
    <row r="28" spans="2:14" x14ac:dyDescent="0.25">
      <c r="B28" s="93" t="s">
        <v>35</v>
      </c>
      <c r="C28" s="94">
        <f>N6*60/M13</f>
        <v>229.33333333333334</v>
      </c>
      <c r="D28" s="165">
        <f>C28*M15</f>
        <v>1376</v>
      </c>
      <c r="E28" s="165"/>
      <c r="F28" s="165"/>
      <c r="G28" s="157">
        <f>D28*M17</f>
        <v>68800</v>
      </c>
      <c r="H28" s="157"/>
      <c r="I28" s="157">
        <f>G28</f>
        <v>68800</v>
      </c>
      <c r="J28" s="157"/>
      <c r="K28" s="158">
        <f>K22</f>
        <v>61264.19</v>
      </c>
      <c r="L28" s="158"/>
      <c r="M28" s="157">
        <f>I28*K28/1000</f>
        <v>4214976.2719999999</v>
      </c>
      <c r="N28" s="157"/>
    </row>
    <row r="29" spans="2:14" x14ac:dyDescent="0.25">
      <c r="B29" s="95" t="s">
        <v>36</v>
      </c>
      <c r="C29" s="96">
        <f>10*60/90</f>
        <v>6.666666666666667</v>
      </c>
      <c r="D29" s="162">
        <f>C29*M15</f>
        <v>40</v>
      </c>
      <c r="E29" s="162"/>
      <c r="F29" s="162"/>
      <c r="G29" s="163">
        <f>D29*$M$17</f>
        <v>2000</v>
      </c>
      <c r="H29" s="163"/>
      <c r="I29" s="163">
        <f>G29*N6/10</f>
        <v>68800</v>
      </c>
      <c r="J29" s="163"/>
      <c r="K29" s="164">
        <f>K22</f>
        <v>61264.19</v>
      </c>
      <c r="L29" s="164"/>
      <c r="M29" s="163">
        <f>I29*K29/1000</f>
        <v>4214976.2719999999</v>
      </c>
      <c r="N29" s="163"/>
    </row>
    <row r="30" spans="2:14" x14ac:dyDescent="0.25"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</row>
    <row r="31" spans="2:14" x14ac:dyDescent="0.25">
      <c r="C31" s="92" t="s">
        <v>82</v>
      </c>
      <c r="L31" s="84" t="s">
        <v>80</v>
      </c>
      <c r="M31" s="161">
        <f>M22+M27</f>
        <v>26025027.912</v>
      </c>
      <c r="N31" s="160"/>
    </row>
    <row r="33" spans="3:14" x14ac:dyDescent="0.25">
      <c r="C33" s="92" t="s">
        <v>83</v>
      </c>
      <c r="L33" s="84" t="s">
        <v>81</v>
      </c>
      <c r="M33" s="161">
        <f>M23+M28</f>
        <v>4950146.5520000001</v>
      </c>
      <c r="N33" s="160"/>
    </row>
  </sheetData>
  <mergeCells count="43">
    <mergeCell ref="B1:N1"/>
    <mergeCell ref="M33:N33"/>
    <mergeCell ref="M31:N31"/>
    <mergeCell ref="D29:F29"/>
    <mergeCell ref="G29:H29"/>
    <mergeCell ref="I29:J29"/>
    <mergeCell ref="K29:L29"/>
    <mergeCell ref="M29:N29"/>
    <mergeCell ref="D28:F28"/>
    <mergeCell ref="G28:H28"/>
    <mergeCell ref="I28:J28"/>
    <mergeCell ref="K28:L28"/>
    <mergeCell ref="M28:N28"/>
    <mergeCell ref="B23:C23"/>
    <mergeCell ref="D23:F23"/>
    <mergeCell ref="G23:H23"/>
    <mergeCell ref="I23:J23"/>
    <mergeCell ref="K23:L23"/>
    <mergeCell ref="M23:N23"/>
    <mergeCell ref="B27:C27"/>
    <mergeCell ref="D27:F27"/>
    <mergeCell ref="G27:H27"/>
    <mergeCell ref="I27:J27"/>
    <mergeCell ref="K27:L27"/>
    <mergeCell ref="M27:N27"/>
    <mergeCell ref="B26:C26"/>
    <mergeCell ref="D26:F26"/>
    <mergeCell ref="G26:H26"/>
    <mergeCell ref="I26:J26"/>
    <mergeCell ref="K26:L26"/>
    <mergeCell ref="M26:N26"/>
    <mergeCell ref="M21:N21"/>
    <mergeCell ref="B22:C22"/>
    <mergeCell ref="D22:F22"/>
    <mergeCell ref="M22:N22"/>
    <mergeCell ref="K22:L22"/>
    <mergeCell ref="I22:J22"/>
    <mergeCell ref="G22:H22"/>
    <mergeCell ref="B21:C21"/>
    <mergeCell ref="D21:F21"/>
    <mergeCell ref="G21:H21"/>
    <mergeCell ref="I21:J21"/>
    <mergeCell ref="K21:L21"/>
  </mergeCells>
  <printOptions horizontalCentered="1"/>
  <pageMargins left="0.39370078740157483" right="0.39370078740157483" top="0.98425196850393704" bottom="0.39370078740157483" header="0" footer="0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Эк. эффект</vt:lpstr>
      <vt:lpstr>Анализ ЭЭ</vt:lpstr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Чердынцева Е.М.</dc:creator>
  <cp:lastModifiedBy>Андриенко Б.Н.</cp:lastModifiedBy>
  <cp:lastPrinted>2021-03-11T02:40:59Z</cp:lastPrinted>
  <dcterms:created xsi:type="dcterms:W3CDTF">2015-01-16T02:09:06Z</dcterms:created>
  <dcterms:modified xsi:type="dcterms:W3CDTF">2021-08-24T03:17:51Z</dcterms:modified>
</cp:coreProperties>
</file>