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shwat Sharma\Documents\DCF\Dow 30\Apple\"/>
    </mc:Choice>
  </mc:AlternateContent>
  <xr:revisionPtr revIDLastSave="0" documentId="13_ncr:1_{0E878386-FB85-4BE5-9A99-356763A358B5}" xr6:coauthVersionLast="47" xr6:coauthVersionMax="47" xr10:uidLastSave="{00000000-0000-0000-0000-000000000000}"/>
  <bookViews>
    <workbookView xWindow="-120" yWindow="-120" windowWidth="24240" windowHeight="13740" activeTab="1" xr2:uid="{08B3BD42-F7E2-4899-946D-496009338604}"/>
  </bookViews>
  <sheets>
    <sheet name="Street Estimates" sheetId="1" r:id="rId1"/>
    <sheet name="DCF Model" sheetId="2" r:id="rId2"/>
  </sheets>
  <calcPr calcId="191029" iterate="1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46" i="2" l="1"/>
  <c r="J6" i="2"/>
  <c r="I10" i="1"/>
  <c r="J7" i="2"/>
  <c r="J8" i="2"/>
  <c r="J9" i="2"/>
  <c r="J10" i="2"/>
  <c r="J11" i="2"/>
  <c r="G22" i="2"/>
  <c r="G20" i="2"/>
  <c r="G21" i="2"/>
  <c r="G23" i="2"/>
  <c r="G32" i="2"/>
  <c r="G33" i="2"/>
  <c r="K6" i="2"/>
  <c r="J10" i="1"/>
  <c r="K7" i="2"/>
  <c r="K8" i="2"/>
  <c r="K9" i="2"/>
  <c r="K10" i="2"/>
  <c r="K11" i="2"/>
  <c r="H32" i="2"/>
  <c r="H33" i="2"/>
  <c r="L6" i="2"/>
  <c r="K10" i="1"/>
  <c r="L7" i="2"/>
  <c r="L8" i="2"/>
  <c r="L9" i="2"/>
  <c r="L10" i="2"/>
  <c r="L11" i="2"/>
  <c r="I32" i="2"/>
  <c r="I33" i="2"/>
  <c r="M6" i="2"/>
  <c r="L10" i="1"/>
  <c r="M7" i="2"/>
  <c r="M8" i="2"/>
  <c r="M9" i="2"/>
  <c r="M10" i="2"/>
  <c r="M11" i="2"/>
  <c r="J32" i="2"/>
  <c r="J33" i="2"/>
  <c r="N6" i="2"/>
  <c r="M10" i="1"/>
  <c r="N7" i="2"/>
  <c r="N8" i="2"/>
  <c r="N9" i="2"/>
  <c r="N10" i="2"/>
  <c r="N11" i="2"/>
  <c r="K32" i="2"/>
  <c r="K33" i="2"/>
  <c r="O6" i="2"/>
  <c r="O8" i="2"/>
  <c r="G26" i="2"/>
  <c r="G27" i="2"/>
  <c r="N10" i="1"/>
  <c r="O7" i="2"/>
  <c r="O9" i="2"/>
  <c r="O10" i="2"/>
  <c r="O11" i="2"/>
  <c r="G28" i="2"/>
  <c r="G29" i="2"/>
  <c r="K34" i="2"/>
  <c r="F35" i="2"/>
  <c r="F42" i="2"/>
  <c r="F45" i="2"/>
  <c r="H10" i="1"/>
  <c r="G10" i="1"/>
  <c r="F10" i="1"/>
  <c r="E10" i="1"/>
</calcChain>
</file>

<file path=xl/sharedStrings.xml><?xml version="1.0" encoding="utf-8"?>
<sst xmlns="http://schemas.openxmlformats.org/spreadsheetml/2006/main" count="60" uniqueCount="51">
  <si>
    <t>Ticker: AAPL</t>
  </si>
  <si>
    <t>EBIT:</t>
  </si>
  <si>
    <t>Income Statement:</t>
  </si>
  <si>
    <t>Current Price: $147.02</t>
  </si>
  <si>
    <t>Historical</t>
  </si>
  <si>
    <t>Base</t>
  </si>
  <si>
    <t>Conservative</t>
  </si>
  <si>
    <t>Tax:</t>
  </si>
  <si>
    <t>Projected</t>
  </si>
  <si>
    <t>D&amp;A</t>
  </si>
  <si>
    <t>D&amp;A:</t>
  </si>
  <si>
    <t>CapEx</t>
  </si>
  <si>
    <t>CapEx:</t>
  </si>
  <si>
    <t>High Consensus</t>
  </si>
  <si>
    <t>NWC:</t>
  </si>
  <si>
    <t>Discounted Cash Flow Model:</t>
  </si>
  <si>
    <t>EBIT</t>
  </si>
  <si>
    <t>Tax</t>
  </si>
  <si>
    <t>NWC</t>
  </si>
  <si>
    <t>Period</t>
  </si>
  <si>
    <t>FCF</t>
  </si>
  <si>
    <t>Assumptions:</t>
  </si>
  <si>
    <t>EV / EBITDA</t>
  </si>
  <si>
    <t>Growth Rate</t>
  </si>
  <si>
    <t>Cost of Debt</t>
  </si>
  <si>
    <t>Tax Rate</t>
  </si>
  <si>
    <t>Risk Free Rate</t>
  </si>
  <si>
    <t>Beta</t>
  </si>
  <si>
    <t>Market Return</t>
  </si>
  <si>
    <t>Equity Value</t>
  </si>
  <si>
    <t>Debt Value</t>
  </si>
  <si>
    <t>WACC</t>
  </si>
  <si>
    <t>Cost of Equity</t>
  </si>
  <si>
    <t>D/D+E</t>
  </si>
  <si>
    <t>E/D+E</t>
  </si>
  <si>
    <t>Terminal Value</t>
  </si>
  <si>
    <t>EBITDA</t>
  </si>
  <si>
    <t>Perpetuity Growth</t>
  </si>
  <si>
    <t>Average</t>
  </si>
  <si>
    <t>Discounting</t>
  </si>
  <si>
    <t>Discount Factor</t>
  </si>
  <si>
    <t>PV of FCF</t>
  </si>
  <si>
    <t>PV of TV</t>
  </si>
  <si>
    <t>Enterprise Value</t>
  </si>
  <si>
    <t>Enterprise Value to Equity Value</t>
  </si>
  <si>
    <t>Cash</t>
  </si>
  <si>
    <t>Marketable Securities</t>
  </si>
  <si>
    <t>Short-term Debt</t>
  </si>
  <si>
    <t>Long-Term Debt</t>
  </si>
  <si>
    <t>Shares Outstanding</t>
  </si>
  <si>
    <t>Upside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</si>
</sst>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_-;\(#,##0\)_-;_-* &quot;-&quot;_-;_-@_-"/>
    <numFmt numFmtId="165" formatCode="_-* #,##0.00_-;\(#,##0.00\)_-;_-* &quot;-&quot;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2900C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2900C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4">
    <xf numFmtId="0" fontId="0" fillId="0" borderId="0" xfId="0"/>
    <xf numFmtId="164" fontId="0" fillId="0" borderId="1" xfId="0" applyNumberFormat="1" applyBorder="1"/>
    <xf numFmtId="164" fontId="4" fillId="0" borderId="2" xfId="0" applyNumberFormat="1" applyFont="1" applyBorder="1"/>
    <xf numFmtId="164" fontId="0" fillId="0" borderId="0" xfId="0" applyNumberFormat="1"/>
    <xf numFmtId="164" fontId="0" fillId="0" borderId="2" xfId="0" applyNumberFormat="1" applyBorder="1"/>
    <xf numFmtId="164" fontId="0" fillId="0" borderId="0" xfId="0" applyNumberFormat="1" applyBorder="1"/>
    <xf numFmtId="164" fontId="0" fillId="0" borderId="0" xfId="0" applyNumberFormat="1" applyFill="1" applyBorder="1"/>
    <xf numFmtId="164" fontId="0" fillId="0" borderId="8" xfId="0" applyNumberFormat="1" applyBorder="1"/>
    <xf numFmtId="164" fontId="0" fillId="0" borderId="7" xfId="0" applyNumberFormat="1" applyBorder="1"/>
    <xf numFmtId="164" fontId="0" fillId="0" borderId="9" xfId="0" applyNumberFormat="1" applyBorder="1"/>
    <xf numFmtId="164" fontId="3" fillId="0" borderId="0" xfId="0" applyNumberFormat="1" applyFont="1"/>
    <xf numFmtId="164" fontId="2" fillId="2" borderId="0" xfId="0" applyNumberFormat="1" applyFont="1" applyFill="1"/>
    <xf numFmtId="164" fontId="0" fillId="2" borderId="0" xfId="0" applyNumberFormat="1" applyFill="1"/>
    <xf numFmtId="164" fontId="2" fillId="2" borderId="1" xfId="0" applyNumberFormat="1" applyFont="1" applyFill="1" applyBorder="1"/>
    <xf numFmtId="0" fontId="2" fillId="2" borderId="3" xfId="0" applyNumberFormat="1" applyFont="1" applyFill="1" applyBorder="1"/>
    <xf numFmtId="0" fontId="2" fillId="2" borderId="1" xfId="0" applyNumberFormat="1" applyFont="1" applyFill="1" applyBorder="1"/>
    <xf numFmtId="164" fontId="5" fillId="2" borderId="0" xfId="0" applyNumberFormat="1" applyFont="1" applyFill="1"/>
    <xf numFmtId="164" fontId="3" fillId="2" borderId="0" xfId="0" applyNumberFormat="1" applyFont="1" applyFill="1"/>
    <xf numFmtId="164" fontId="3" fillId="0" borderId="1" xfId="0" applyNumberFormat="1" applyFont="1" applyBorder="1"/>
    <xf numFmtId="164" fontId="3" fillId="2" borderId="1" xfId="0" applyNumberFormat="1" applyFont="1" applyFill="1" applyBorder="1"/>
    <xf numFmtId="164" fontId="5" fillId="2" borderId="1" xfId="0" applyNumberFormat="1" applyFont="1" applyFill="1" applyBorder="1"/>
    <xf numFmtId="164" fontId="5" fillId="2" borderId="10" xfId="0" applyNumberFormat="1" applyFont="1" applyFill="1" applyBorder="1"/>
    <xf numFmtId="164" fontId="3" fillId="0" borderId="4" xfId="0" applyNumberFormat="1" applyFont="1" applyBorder="1"/>
    <xf numFmtId="164" fontId="3" fillId="0" borderId="10" xfId="0" applyNumberFormat="1" applyFont="1" applyBorder="1"/>
    <xf numFmtId="164" fontId="5" fillId="0" borderId="4" xfId="0" applyNumberFormat="1" applyFont="1" applyBorder="1"/>
    <xf numFmtId="165" fontId="3" fillId="0" borderId="0" xfId="0" applyNumberFormat="1" applyFont="1"/>
    <xf numFmtId="10" fontId="3" fillId="0" borderId="0" xfId="1" applyNumberFormat="1" applyFont="1"/>
    <xf numFmtId="2" fontId="3" fillId="0" borderId="0" xfId="0" applyNumberFormat="1" applyFont="1"/>
    <xf numFmtId="2" fontId="3" fillId="0" borderId="1" xfId="0" applyNumberFormat="1" applyFont="1" applyBorder="1"/>
    <xf numFmtId="164" fontId="5" fillId="0" borderId="0" xfId="0" applyNumberFormat="1" applyFont="1"/>
    <xf numFmtId="164" fontId="5" fillId="0" borderId="6" xfId="0" applyNumberFormat="1" applyFont="1" applyBorder="1"/>
    <xf numFmtId="164" fontId="3" fillId="0" borderId="6" xfId="0" applyNumberFormat="1" applyFont="1" applyBorder="1"/>
    <xf numFmtId="0" fontId="5" fillId="2" borderId="1" xfId="0" applyNumberFormat="1" applyFont="1" applyFill="1" applyBorder="1"/>
    <xf numFmtId="0" fontId="3" fillId="0" borderId="0" xfId="0" applyNumberFormat="1" applyFont="1"/>
    <xf numFmtId="0" fontId="5" fillId="0" borderId="6" xfId="0" applyNumberFormat="1" applyFont="1" applyBorder="1"/>
    <xf numFmtId="10" fontId="3" fillId="0" borderId="6" xfId="1" applyNumberFormat="1" applyFont="1" applyBorder="1"/>
    <xf numFmtId="0" fontId="5" fillId="0" borderId="0" xfId="0" applyNumberFormat="1" applyFont="1"/>
    <xf numFmtId="164" fontId="6" fillId="0" borderId="0" xfId="0" applyNumberFormat="1" applyFont="1"/>
    <xf numFmtId="164" fontId="6" fillId="0" borderId="1" xfId="0" applyNumberFormat="1" applyFont="1" applyBorder="1"/>
    <xf numFmtId="164" fontId="4" fillId="0" borderId="0" xfId="0" applyNumberFormat="1" applyFont="1" applyBorder="1"/>
    <xf numFmtId="164" fontId="4" fillId="0" borderId="2" xfId="0" applyNumberFormat="1" applyFont="1" applyFill="1" applyBorder="1"/>
    <xf numFmtId="164" fontId="4" fillId="0" borderId="0" xfId="0" applyNumberFormat="1" applyFont="1"/>
    <xf numFmtId="164" fontId="4" fillId="0" borderId="8" xfId="0" applyNumberFormat="1" applyFont="1" applyBorder="1"/>
    <xf numFmtId="164" fontId="4" fillId="0" borderId="7" xfId="0" applyNumberFormat="1" applyFont="1" applyBorder="1"/>
    <xf numFmtId="164" fontId="4" fillId="0" borderId="5" xfId="0" applyNumberFormat="1" applyFont="1" applyBorder="1"/>
    <xf numFmtId="164" fontId="4" fillId="0" borderId="6" xfId="0" applyNumberFormat="1" applyFont="1" applyBorder="1"/>
    <xf numFmtId="164" fontId="4" fillId="0" borderId="3" xfId="0" applyNumberFormat="1" applyFont="1" applyBorder="1"/>
    <xf numFmtId="164" fontId="4" fillId="0" borderId="1" xfId="0" applyNumberFormat="1" applyFont="1" applyBorder="1"/>
    <xf numFmtId="164" fontId="6" fillId="0" borderId="0" xfId="0" applyNumberFormat="1" applyFont="1" applyBorder="1"/>
    <xf numFmtId="0" fontId="3" fillId="0" borderId="1" xfId="0" applyNumberFormat="1" applyFont="1" applyBorder="1"/>
    <xf numFmtId="164" fontId="0" fillId="0" borderId="2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2" fontId="5" fillId="2" borderId="0" xfId="0" applyNumberFormat="1" applyFont="1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81FEC-A471-4B7A-BB02-7A12F1505144}">
  <dimension ref="A1:N16"/>
  <sheetViews>
    <sheetView showGridLines="0" workbookViewId="0">
      <selection activeCell="M8" sqref="M8"/>
    </sheetView>
  </sheetViews>
  <sheetFormatPr defaultRowHeight="15" x14ac:dyDescent="0.25"/>
  <cols>
    <col min="1" max="4" width="9.140625" style="3"/>
    <col min="5" max="9" width="10.5703125" style="3" bestFit="1" customWidth="1"/>
    <col min="10" max="16384" width="9.140625" style="3"/>
  </cols>
  <sheetData>
    <row r="1" spans="1:14" ht="15.75" x14ac:dyDescent="0.25">
      <c r="A1" s="10"/>
      <c r="E1" s="4"/>
      <c r="J1" s="4"/>
    </row>
    <row r="2" spans="1:14" x14ac:dyDescent="0.25">
      <c r="B2" s="11" t="s">
        <v>0</v>
      </c>
      <c r="C2" s="12"/>
      <c r="D2" s="12"/>
      <c r="E2" s="4"/>
      <c r="J2" s="4"/>
    </row>
    <row r="3" spans="1:14" x14ac:dyDescent="0.25">
      <c r="B3" s="11" t="s">
        <v>3</v>
      </c>
      <c r="C3" s="12"/>
      <c r="D3" s="12"/>
      <c r="E3" s="50" t="s">
        <v>4</v>
      </c>
      <c r="F3" s="51"/>
      <c r="G3" s="51"/>
      <c r="H3" s="51"/>
      <c r="I3" s="52"/>
      <c r="J3" s="50" t="s">
        <v>8</v>
      </c>
      <c r="K3" s="51"/>
      <c r="L3" s="51"/>
      <c r="M3" s="51"/>
      <c r="N3" s="51"/>
    </row>
    <row r="4" spans="1:14" x14ac:dyDescent="0.25">
      <c r="E4" s="50"/>
      <c r="F4" s="51"/>
      <c r="G4" s="51"/>
      <c r="H4" s="51"/>
      <c r="I4" s="52"/>
      <c r="J4" s="4">
        <v>1</v>
      </c>
      <c r="K4" s="3">
        <v>2</v>
      </c>
      <c r="L4" s="3">
        <v>3</v>
      </c>
      <c r="M4" s="3">
        <v>4</v>
      </c>
      <c r="N4" s="3">
        <v>5</v>
      </c>
    </row>
    <row r="5" spans="1:14" x14ac:dyDescent="0.25">
      <c r="B5" s="13" t="s">
        <v>2</v>
      </c>
      <c r="C5" s="13"/>
      <c r="D5" s="13"/>
      <c r="E5" s="14">
        <v>2017</v>
      </c>
      <c r="F5" s="15">
        <v>2018</v>
      </c>
      <c r="G5" s="15">
        <v>2019</v>
      </c>
      <c r="H5" s="15">
        <v>2020</v>
      </c>
      <c r="I5" s="15">
        <v>2021</v>
      </c>
      <c r="J5" s="14">
        <v>2022</v>
      </c>
      <c r="K5" s="15">
        <v>2023</v>
      </c>
      <c r="L5" s="15">
        <v>2024</v>
      </c>
      <c r="M5" s="15">
        <v>2025</v>
      </c>
      <c r="N5" s="15">
        <v>2026</v>
      </c>
    </row>
    <row r="6" spans="1:14" x14ac:dyDescent="0.25">
      <c r="B6" s="5" t="s">
        <v>1</v>
      </c>
      <c r="C6" s="5"/>
      <c r="D6" s="5"/>
      <c r="E6" s="2">
        <v>61344</v>
      </c>
      <c r="F6" s="39">
        <v>70898</v>
      </c>
      <c r="G6" s="39">
        <v>63930</v>
      </c>
      <c r="H6" s="39">
        <v>66288</v>
      </c>
      <c r="I6" s="39">
        <v>108900</v>
      </c>
      <c r="J6" s="40"/>
      <c r="K6" s="39"/>
      <c r="L6" s="39"/>
      <c r="M6" s="39"/>
      <c r="N6" s="39"/>
    </row>
    <row r="7" spans="1:14" x14ac:dyDescent="0.25">
      <c r="B7" s="3" t="s">
        <v>13</v>
      </c>
      <c r="E7" s="2"/>
      <c r="F7" s="41"/>
      <c r="G7" s="41"/>
      <c r="H7" s="41"/>
      <c r="I7" s="41"/>
      <c r="J7" s="40">
        <v>122700</v>
      </c>
      <c r="K7" s="39">
        <v>133500</v>
      </c>
      <c r="L7" s="39">
        <v>135700</v>
      </c>
      <c r="M7" s="39">
        <v>142200</v>
      </c>
      <c r="N7" s="39">
        <v>153300</v>
      </c>
    </row>
    <row r="8" spans="1:14" x14ac:dyDescent="0.25">
      <c r="B8" s="3" t="s">
        <v>5</v>
      </c>
      <c r="E8" s="2"/>
      <c r="F8" s="41"/>
      <c r="G8" s="41"/>
      <c r="H8" s="41"/>
      <c r="I8" s="41"/>
      <c r="J8" s="40">
        <v>119500</v>
      </c>
      <c r="K8" s="41">
        <v>122500</v>
      </c>
      <c r="L8" s="41">
        <v>125700</v>
      </c>
      <c r="M8" s="41">
        <v>124000</v>
      </c>
      <c r="N8" s="41">
        <v>141000</v>
      </c>
    </row>
    <row r="9" spans="1:14" x14ac:dyDescent="0.25">
      <c r="B9" s="3" t="s">
        <v>6</v>
      </c>
      <c r="E9" s="2"/>
      <c r="F9" s="41"/>
      <c r="G9" s="41"/>
      <c r="H9" s="41"/>
      <c r="I9" s="41"/>
      <c r="J9" s="40">
        <v>116500</v>
      </c>
      <c r="K9" s="41">
        <v>109300</v>
      </c>
      <c r="L9" s="41">
        <v>112900</v>
      </c>
      <c r="M9" s="41">
        <v>122700</v>
      </c>
      <c r="N9" s="41">
        <v>128900</v>
      </c>
    </row>
    <row r="10" spans="1:14" x14ac:dyDescent="0.25">
      <c r="B10" s="8" t="s">
        <v>7</v>
      </c>
      <c r="C10" s="8"/>
      <c r="D10" s="8"/>
      <c r="E10" s="7">
        <f>24.6%*E6</f>
        <v>15090.624000000002</v>
      </c>
      <c r="F10" s="8">
        <f>18.3%*F6</f>
        <v>12974.333999999999</v>
      </c>
      <c r="G10" s="8">
        <f>15.9%*G6</f>
        <v>10164.870000000001</v>
      </c>
      <c r="H10" s="8">
        <f>14.4%*H6</f>
        <v>9545.4720000000016</v>
      </c>
      <c r="I10" s="9">
        <f>13.3%*I6</f>
        <v>14483.7</v>
      </c>
      <c r="J10" s="8">
        <f>18%*J8</f>
        <v>21510</v>
      </c>
      <c r="K10" s="8">
        <f t="shared" ref="K10:N10" si="0">18%*K8</f>
        <v>22050</v>
      </c>
      <c r="L10" s="8">
        <f t="shared" si="0"/>
        <v>22626</v>
      </c>
      <c r="M10" s="8">
        <f t="shared" si="0"/>
        <v>22320</v>
      </c>
      <c r="N10" s="8">
        <f t="shared" si="0"/>
        <v>25380</v>
      </c>
    </row>
    <row r="11" spans="1:14" x14ac:dyDescent="0.25">
      <c r="B11" s="8" t="s">
        <v>10</v>
      </c>
      <c r="C11" s="8"/>
      <c r="D11" s="8"/>
      <c r="E11" s="42">
        <v>10157</v>
      </c>
      <c r="F11" s="43">
        <v>10903</v>
      </c>
      <c r="G11" s="43">
        <v>12547</v>
      </c>
      <c r="H11" s="43">
        <v>11056</v>
      </c>
      <c r="I11" s="43">
        <v>11284</v>
      </c>
      <c r="J11" s="42">
        <v>11796</v>
      </c>
      <c r="K11" s="43">
        <v>11789</v>
      </c>
      <c r="L11" s="43">
        <v>12101</v>
      </c>
      <c r="M11" s="43">
        <v>17427</v>
      </c>
      <c r="N11" s="43">
        <v>13159</v>
      </c>
    </row>
    <row r="12" spans="1:14" x14ac:dyDescent="0.25">
      <c r="B12" s="6" t="s">
        <v>12</v>
      </c>
      <c r="E12" s="44">
        <v>12451</v>
      </c>
      <c r="F12" s="41">
        <v>13313</v>
      </c>
      <c r="G12" s="41">
        <v>10495</v>
      </c>
      <c r="H12" s="41">
        <v>7309</v>
      </c>
      <c r="I12" s="45">
        <v>11085</v>
      </c>
      <c r="J12" s="44"/>
      <c r="K12" s="41"/>
      <c r="L12" s="41"/>
      <c r="M12" s="41"/>
      <c r="N12" s="41"/>
    </row>
    <row r="13" spans="1:14" x14ac:dyDescent="0.25">
      <c r="B13" s="3" t="s">
        <v>13</v>
      </c>
      <c r="E13" s="2"/>
      <c r="F13" s="41"/>
      <c r="G13" s="41"/>
      <c r="H13" s="41"/>
      <c r="I13" s="41"/>
      <c r="J13" s="2">
        <v>12173</v>
      </c>
      <c r="K13" s="41">
        <v>20282</v>
      </c>
      <c r="L13" s="41">
        <v>19363</v>
      </c>
      <c r="M13" s="41">
        <v>20428</v>
      </c>
      <c r="N13" s="41">
        <v>21882</v>
      </c>
    </row>
    <row r="14" spans="1:14" x14ac:dyDescent="0.25">
      <c r="B14" s="3" t="s">
        <v>5</v>
      </c>
      <c r="E14" s="2"/>
      <c r="F14" s="41"/>
      <c r="G14" s="41"/>
      <c r="H14" s="41"/>
      <c r="I14" s="41"/>
      <c r="J14" s="2">
        <v>10731</v>
      </c>
      <c r="K14" s="41">
        <v>12415</v>
      </c>
      <c r="L14" s="41">
        <v>13295</v>
      </c>
      <c r="M14" s="41">
        <v>15436</v>
      </c>
      <c r="N14" s="41">
        <v>15385</v>
      </c>
    </row>
    <row r="15" spans="1:14" x14ac:dyDescent="0.25">
      <c r="B15" s="1" t="s">
        <v>6</v>
      </c>
      <c r="C15" s="1"/>
      <c r="D15" s="1"/>
      <c r="E15" s="46"/>
      <c r="F15" s="47"/>
      <c r="G15" s="47"/>
      <c r="H15" s="47"/>
      <c r="I15" s="47"/>
      <c r="J15" s="46">
        <v>9540</v>
      </c>
      <c r="K15" s="47">
        <v>10000</v>
      </c>
      <c r="L15" s="47">
        <v>10686</v>
      </c>
      <c r="M15" s="47">
        <v>11010</v>
      </c>
      <c r="N15" s="47">
        <v>11120</v>
      </c>
    </row>
    <row r="16" spans="1:14" x14ac:dyDescent="0.25">
      <c r="B16" s="3" t="s">
        <v>14</v>
      </c>
      <c r="E16" s="2">
        <v>27877</v>
      </c>
      <c r="F16" s="41">
        <v>30143</v>
      </c>
      <c r="G16" s="41">
        <v>27216</v>
      </c>
      <c r="H16" s="41">
        <v>37393</v>
      </c>
      <c r="I16" s="41">
        <v>36143</v>
      </c>
      <c r="J16" s="2">
        <v>33324</v>
      </c>
      <c r="K16" s="41">
        <v>31591</v>
      </c>
      <c r="L16" s="41">
        <v>30233</v>
      </c>
      <c r="M16" s="41">
        <v>29205</v>
      </c>
      <c r="N16" s="41">
        <v>26080</v>
      </c>
    </row>
  </sheetData>
  <mergeCells count="3">
    <mergeCell ref="E4:I4"/>
    <mergeCell ref="E3:I3"/>
    <mergeCell ref="J3:N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2B475-E092-48FC-990D-00D6632DE395}">
  <dimension ref="B2:O46"/>
  <sheetViews>
    <sheetView showGridLines="0" tabSelected="1" topLeftCell="A28" workbookViewId="0">
      <selection activeCell="F46" sqref="F46"/>
    </sheetView>
  </sheetViews>
  <sheetFormatPr defaultRowHeight="15.75" x14ac:dyDescent="0.25"/>
  <cols>
    <col min="1" max="5" width="9.140625" style="10"/>
    <col min="6" max="7" width="11.5703125" style="10" bestFit="1" customWidth="1"/>
    <col min="8" max="10" width="9.85546875" style="10" bestFit="1" customWidth="1"/>
    <col min="11" max="11" width="11.5703125" style="10" bestFit="1" customWidth="1"/>
    <col min="12" max="15" width="9.85546875" style="10" bestFit="1" customWidth="1"/>
    <col min="16" max="16384" width="9.140625" style="10"/>
  </cols>
  <sheetData>
    <row r="2" spans="2:15" x14ac:dyDescent="0.25">
      <c r="B2" s="16" t="s">
        <v>0</v>
      </c>
      <c r="C2" s="17"/>
      <c r="D2" s="17"/>
    </row>
    <row r="3" spans="2:15" x14ac:dyDescent="0.25">
      <c r="B3" s="16" t="s">
        <v>3</v>
      </c>
      <c r="C3" s="17"/>
      <c r="D3" s="17"/>
    </row>
    <row r="5" spans="2:15" x14ac:dyDescent="0.25">
      <c r="B5" s="53" t="s">
        <v>15</v>
      </c>
      <c r="C5" s="53"/>
      <c r="D5" s="53"/>
      <c r="E5" s="53"/>
      <c r="F5" s="53"/>
      <c r="G5" s="53"/>
      <c r="I5" s="21" t="s">
        <v>19</v>
      </c>
      <c r="J5" s="20">
        <v>0</v>
      </c>
      <c r="K5" s="20">
        <v>1</v>
      </c>
      <c r="L5" s="20">
        <v>2</v>
      </c>
      <c r="M5" s="20">
        <v>3</v>
      </c>
      <c r="N5" s="20">
        <v>4</v>
      </c>
      <c r="O5" s="20">
        <v>5</v>
      </c>
    </row>
    <row r="6" spans="2:15" x14ac:dyDescent="0.25">
      <c r="B6" s="27"/>
      <c r="C6" s="27"/>
      <c r="D6" s="27"/>
      <c r="E6" s="27"/>
      <c r="F6" s="27"/>
      <c r="G6" s="27"/>
      <c r="I6" s="22" t="s">
        <v>16</v>
      </c>
      <c r="J6" s="37">
        <f>'Street Estimates'!I6</f>
        <v>108900</v>
      </c>
      <c r="K6" s="37">
        <f>'Street Estimates'!J8</f>
        <v>119500</v>
      </c>
      <c r="L6" s="37">
        <f>'Street Estimates'!K8</f>
        <v>122500</v>
      </c>
      <c r="M6" s="37">
        <f>'Street Estimates'!L8</f>
        <v>125700</v>
      </c>
      <c r="N6" s="37">
        <f>'Street Estimates'!M8</f>
        <v>124000</v>
      </c>
      <c r="O6" s="37">
        <f>'Street Estimates'!N8</f>
        <v>141000</v>
      </c>
    </row>
    <row r="7" spans="2:15" x14ac:dyDescent="0.25">
      <c r="B7" s="28" t="s">
        <v>21</v>
      </c>
      <c r="C7" s="28"/>
      <c r="D7" s="28"/>
      <c r="E7" s="28"/>
      <c r="F7" s="28"/>
      <c r="G7" s="28"/>
      <c r="I7" s="22" t="s">
        <v>17</v>
      </c>
      <c r="J7" s="10">
        <f>-'Street Estimates'!I10</f>
        <v>-14483.7</v>
      </c>
      <c r="K7" s="10">
        <f>-'Street Estimates'!J10</f>
        <v>-21510</v>
      </c>
      <c r="L7" s="10">
        <f>-'Street Estimates'!K10</f>
        <v>-22050</v>
      </c>
      <c r="M7" s="10">
        <f>-'Street Estimates'!L10</f>
        <v>-22626</v>
      </c>
      <c r="N7" s="10">
        <f>-'Street Estimates'!M10</f>
        <v>-22320</v>
      </c>
      <c r="O7" s="10">
        <f>-'Street Estimates'!N10</f>
        <v>-25380</v>
      </c>
    </row>
    <row r="8" spans="2:15" x14ac:dyDescent="0.25">
      <c r="B8" s="27" t="s">
        <v>23</v>
      </c>
      <c r="C8" s="27"/>
      <c r="D8" s="27"/>
      <c r="E8" s="27"/>
      <c r="F8" s="27"/>
      <c r="G8" s="26">
        <v>1.11E-2</v>
      </c>
      <c r="I8" s="22" t="s">
        <v>9</v>
      </c>
      <c r="J8" s="37">
        <f>'Street Estimates'!I11</f>
        <v>11284</v>
      </c>
      <c r="K8" s="37">
        <f>'Street Estimates'!J11</f>
        <v>11796</v>
      </c>
      <c r="L8" s="37">
        <f>'Street Estimates'!K11</f>
        <v>11789</v>
      </c>
      <c r="M8" s="37">
        <f>'Street Estimates'!L11</f>
        <v>12101</v>
      </c>
      <c r="N8" s="37">
        <f>'Street Estimates'!M11</f>
        <v>17427</v>
      </c>
      <c r="O8" s="37">
        <f>'Street Estimates'!N11</f>
        <v>13159</v>
      </c>
    </row>
    <row r="9" spans="2:15" x14ac:dyDescent="0.25">
      <c r="B9" s="27" t="s">
        <v>22</v>
      </c>
      <c r="C9" s="27"/>
      <c r="D9" s="27"/>
      <c r="E9" s="27"/>
      <c r="F9" s="27"/>
      <c r="G9" s="27">
        <v>20.6</v>
      </c>
      <c r="I9" s="22" t="s">
        <v>11</v>
      </c>
      <c r="J9" s="37">
        <f>-('Street Estimates'!I12)</f>
        <v>-11085</v>
      </c>
      <c r="K9" s="37">
        <f>-'Street Estimates'!J14</f>
        <v>-10731</v>
      </c>
      <c r="L9" s="37">
        <f>-'Street Estimates'!K14</f>
        <v>-12415</v>
      </c>
      <c r="M9" s="37">
        <f>-'Street Estimates'!L14</f>
        <v>-13295</v>
      </c>
      <c r="N9" s="37">
        <f>-'Street Estimates'!M14</f>
        <v>-15436</v>
      </c>
      <c r="O9" s="37">
        <f>-'Street Estimates'!N14</f>
        <v>-15385</v>
      </c>
    </row>
    <row r="10" spans="2:15" x14ac:dyDescent="0.25">
      <c r="B10" s="27" t="s">
        <v>24</v>
      </c>
      <c r="C10" s="27"/>
      <c r="D10" s="27"/>
      <c r="E10" s="27"/>
      <c r="F10" s="27"/>
      <c r="G10" s="26">
        <v>4.8000000000000001E-2</v>
      </c>
      <c r="I10" s="23" t="s">
        <v>18</v>
      </c>
      <c r="J10" s="38">
        <f>'Street Estimates'!I16</f>
        <v>36143</v>
      </c>
      <c r="K10" s="38">
        <f>'Street Estimates'!J16</f>
        <v>33324</v>
      </c>
      <c r="L10" s="38">
        <f>'Street Estimates'!K16</f>
        <v>31591</v>
      </c>
      <c r="M10" s="38">
        <f>'Street Estimates'!L16</f>
        <v>30233</v>
      </c>
      <c r="N10" s="38">
        <f>'Street Estimates'!M16</f>
        <v>29205</v>
      </c>
      <c r="O10" s="38">
        <f>'Street Estimates'!N16</f>
        <v>26080</v>
      </c>
    </row>
    <row r="11" spans="2:15" x14ac:dyDescent="0.25">
      <c r="B11" s="27" t="s">
        <v>25</v>
      </c>
      <c r="C11" s="27"/>
      <c r="D11" s="27"/>
      <c r="E11" s="27"/>
      <c r="F11" s="27"/>
      <c r="G11" s="26">
        <v>0.13300000000000001</v>
      </c>
      <c r="I11" s="24" t="s">
        <v>20</v>
      </c>
      <c r="J11" s="10">
        <f>SUM(J6:J10)</f>
        <v>130758.3</v>
      </c>
      <c r="K11" s="10">
        <f t="shared" ref="K11:O11" si="0">SUM(K6:K10)</f>
        <v>132379</v>
      </c>
      <c r="L11" s="10">
        <f t="shared" si="0"/>
        <v>131415</v>
      </c>
      <c r="M11" s="10">
        <f t="shared" si="0"/>
        <v>132113</v>
      </c>
      <c r="N11" s="10">
        <f t="shared" si="0"/>
        <v>132876</v>
      </c>
      <c r="O11" s="10">
        <f t="shared" si="0"/>
        <v>139474</v>
      </c>
    </row>
    <row r="12" spans="2:15" x14ac:dyDescent="0.25">
      <c r="B12" s="27" t="s">
        <v>26</v>
      </c>
      <c r="C12" s="27"/>
      <c r="D12" s="27"/>
      <c r="E12" s="27"/>
      <c r="F12" s="27"/>
      <c r="G12" s="26">
        <v>3.0800000000000001E-2</v>
      </c>
    </row>
    <row r="13" spans="2:15" x14ac:dyDescent="0.25">
      <c r="B13" s="27"/>
      <c r="C13" s="27"/>
      <c r="D13" s="27"/>
      <c r="E13" s="27"/>
      <c r="F13" s="27"/>
      <c r="G13" s="27"/>
    </row>
    <row r="14" spans="2:15" x14ac:dyDescent="0.25">
      <c r="B14" s="27" t="s">
        <v>27</v>
      </c>
      <c r="C14" s="27"/>
      <c r="D14" s="27"/>
      <c r="E14" s="27"/>
      <c r="F14" s="27"/>
      <c r="G14" s="27">
        <v>1.19</v>
      </c>
    </row>
    <row r="15" spans="2:15" x14ac:dyDescent="0.25">
      <c r="B15" s="27" t="s">
        <v>28</v>
      </c>
      <c r="C15" s="27"/>
      <c r="D15" s="27"/>
      <c r="E15" s="27"/>
      <c r="F15" s="27"/>
      <c r="G15" s="26">
        <v>2.9100000000000001E-2</v>
      </c>
    </row>
    <row r="16" spans="2:15" x14ac:dyDescent="0.25">
      <c r="B16" s="27" t="s">
        <v>29</v>
      </c>
      <c r="C16" s="27"/>
      <c r="D16" s="27"/>
      <c r="E16" s="27"/>
      <c r="F16" s="27"/>
      <c r="G16" s="10">
        <v>63090</v>
      </c>
    </row>
    <row r="17" spans="2:12" x14ac:dyDescent="0.25">
      <c r="B17" s="27" t="s">
        <v>30</v>
      </c>
      <c r="C17" s="27"/>
      <c r="D17" s="27"/>
      <c r="E17" s="27"/>
      <c r="F17" s="27"/>
      <c r="G17" s="10">
        <v>136500</v>
      </c>
    </row>
    <row r="18" spans="2:12" x14ac:dyDescent="0.25">
      <c r="B18" s="27"/>
      <c r="C18" s="27"/>
      <c r="D18" s="27"/>
      <c r="E18" s="27"/>
      <c r="F18" s="27"/>
      <c r="G18" s="27"/>
    </row>
    <row r="19" spans="2:12" x14ac:dyDescent="0.25">
      <c r="B19" s="32" t="s">
        <v>31</v>
      </c>
      <c r="C19" s="19"/>
      <c r="D19" s="19"/>
      <c r="E19" s="19"/>
      <c r="F19" s="19"/>
      <c r="G19" s="19"/>
    </row>
    <row r="20" spans="2:12" x14ac:dyDescent="0.25">
      <c r="B20" s="33" t="s">
        <v>32</v>
      </c>
      <c r="G20" s="26">
        <f>G12+G14*(G15-G12)</f>
        <v>2.8777E-2</v>
      </c>
    </row>
    <row r="21" spans="2:12" x14ac:dyDescent="0.25">
      <c r="B21" s="33" t="s">
        <v>33</v>
      </c>
      <c r="G21" s="26">
        <f>G17/SUM(G16:G17)</f>
        <v>0.68390199909815119</v>
      </c>
    </row>
    <row r="22" spans="2:12" x14ac:dyDescent="0.25">
      <c r="B22" s="33" t="s">
        <v>34</v>
      </c>
      <c r="G22" s="26">
        <f>G16/SUM(G16:G17)</f>
        <v>0.31609800090184881</v>
      </c>
    </row>
    <row r="23" spans="2:12" x14ac:dyDescent="0.25">
      <c r="B23" s="34" t="s">
        <v>31</v>
      </c>
      <c r="C23" s="31"/>
      <c r="D23" s="31"/>
      <c r="E23" s="31"/>
      <c r="F23" s="31"/>
      <c r="G23" s="35">
        <f>G22*G20+G21*G10*(1-G11)</f>
        <v>3.7557617766421164E-2</v>
      </c>
    </row>
    <row r="25" spans="2:12" x14ac:dyDescent="0.25">
      <c r="B25" s="32" t="s">
        <v>35</v>
      </c>
      <c r="C25" s="19"/>
      <c r="D25" s="19"/>
      <c r="E25" s="19"/>
      <c r="F25" s="19"/>
      <c r="G25" s="19"/>
    </row>
    <row r="26" spans="2:12" x14ac:dyDescent="0.25">
      <c r="B26" s="33" t="s">
        <v>36</v>
      </c>
      <c r="G26" s="10">
        <f>O6+O8</f>
        <v>154159</v>
      </c>
    </row>
    <row r="27" spans="2:12" x14ac:dyDescent="0.25">
      <c r="B27" s="33" t="s">
        <v>22</v>
      </c>
      <c r="G27" s="10">
        <f>G26*G9</f>
        <v>3175675.4000000004</v>
      </c>
    </row>
    <row r="28" spans="2:12" x14ac:dyDescent="0.25">
      <c r="B28" s="33" t="s">
        <v>37</v>
      </c>
      <c r="G28" s="10">
        <f>O11*(1+G8)/(G23-G8)</f>
        <v>5330115.6077241041</v>
      </c>
    </row>
    <row r="29" spans="2:12" x14ac:dyDescent="0.25">
      <c r="B29" s="34" t="s">
        <v>38</v>
      </c>
      <c r="C29" s="31"/>
      <c r="D29" s="31"/>
      <c r="E29" s="31"/>
      <c r="F29" s="31"/>
      <c r="G29" s="31">
        <f>AVERAGE(G27:G28)</f>
        <v>4252895.5038620522</v>
      </c>
    </row>
    <row r="31" spans="2:12" x14ac:dyDescent="0.25">
      <c r="B31" s="32" t="s">
        <v>39</v>
      </c>
      <c r="C31" s="20"/>
      <c r="D31" s="20"/>
      <c r="E31" s="20"/>
      <c r="F31" s="20"/>
      <c r="G31" s="20"/>
      <c r="H31" s="20"/>
      <c r="I31" s="20"/>
      <c r="J31" s="20"/>
      <c r="K31" s="20"/>
      <c r="L31"/>
    </row>
    <row r="32" spans="2:12" x14ac:dyDescent="0.25">
      <c r="B32" s="33" t="s">
        <v>40</v>
      </c>
      <c r="G32" s="25">
        <f>1/(1+$G$23)^K5</f>
        <v>0.96380189675897465</v>
      </c>
      <c r="H32" s="25">
        <f>1/(1+$G$23)^L5</f>
        <v>0.92891409619619736</v>
      </c>
      <c r="I32" s="25">
        <f>1/(1+$G$23)^M5</f>
        <v>0.89528916784004364</v>
      </c>
      <c r="J32" s="25">
        <f>1/(1+$G$23)^N5</f>
        <v>0.86288139811199804</v>
      </c>
      <c r="K32" s="25">
        <f>1/(1+$G$23)^O5</f>
        <v>0.8316467281783797</v>
      </c>
      <c r="L32" s="25"/>
    </row>
    <row r="33" spans="2:11" x14ac:dyDescent="0.25">
      <c r="B33" s="33" t="s">
        <v>41</v>
      </c>
      <c r="G33" s="10">
        <f>J11*G32</f>
        <v>126025.09755697903</v>
      </c>
      <c r="H33" s="10">
        <f t="shared" ref="H33:K33" si="1">K11*H32</f>
        <v>122968.71914035641</v>
      </c>
      <c r="I33" s="10">
        <f t="shared" si="1"/>
        <v>117654.42599169933</v>
      </c>
      <c r="J33" s="10">
        <f t="shared" si="1"/>
        <v>113997.85014877039</v>
      </c>
      <c r="K33" s="10">
        <f t="shared" si="1"/>
        <v>110505.89065343038</v>
      </c>
    </row>
    <row r="34" spans="2:11" x14ac:dyDescent="0.25">
      <c r="B34" s="33" t="s">
        <v>42</v>
      </c>
      <c r="K34" s="10">
        <f>K32*G29</f>
        <v>3536906.6310714171</v>
      </c>
    </row>
    <row r="35" spans="2:11" x14ac:dyDescent="0.25">
      <c r="B35" s="34" t="s">
        <v>43</v>
      </c>
      <c r="C35" s="31"/>
      <c r="D35" s="31"/>
      <c r="E35" s="31"/>
      <c r="F35" s="30">
        <f>SUM(G33:K34)</f>
        <v>4128058.6145626525</v>
      </c>
    </row>
    <row r="37" spans="2:11" x14ac:dyDescent="0.25">
      <c r="B37" s="32" t="s">
        <v>44</v>
      </c>
      <c r="C37" s="20"/>
      <c r="D37" s="20"/>
      <c r="E37" s="20"/>
      <c r="F37" s="20"/>
    </row>
    <row r="38" spans="2:11" x14ac:dyDescent="0.25">
      <c r="B38" s="33" t="s">
        <v>45</v>
      </c>
      <c r="F38" s="48">
        <v>62640</v>
      </c>
    </row>
    <row r="39" spans="2:11" x14ac:dyDescent="0.25">
      <c r="B39" s="33" t="s">
        <v>46</v>
      </c>
      <c r="F39" s="48"/>
    </row>
    <row r="40" spans="2:11" x14ac:dyDescent="0.25">
      <c r="B40" s="33" t="s">
        <v>47</v>
      </c>
      <c r="F40" s="48">
        <v>6000</v>
      </c>
    </row>
    <row r="41" spans="2:11" x14ac:dyDescent="0.25">
      <c r="B41" s="49" t="s">
        <v>48</v>
      </c>
      <c r="C41" s="18"/>
      <c r="D41" s="18"/>
      <c r="E41" s="18"/>
      <c r="F41" s="38">
        <v>109100</v>
      </c>
    </row>
    <row r="42" spans="2:11" x14ac:dyDescent="0.25">
      <c r="B42" s="36" t="s">
        <v>29</v>
      </c>
      <c r="C42" s="48"/>
      <c r="F42" s="29">
        <f>F35+F38-F40-F41</f>
        <v>4075598.6145626525</v>
      </c>
    </row>
    <row r="44" spans="2:11" x14ac:dyDescent="0.25">
      <c r="B44" s="18" t="s">
        <v>49</v>
      </c>
      <c r="C44" s="18"/>
      <c r="D44" s="18"/>
      <c r="E44" s="18"/>
      <c r="F44" s="38">
        <v>16530</v>
      </c>
    </row>
    <row r="45" spans="2:11" x14ac:dyDescent="0.25">
      <c r="B45" s="10" t="s">
        <v>29</v>
      </c>
      <c r="F45" s="25">
        <f>F42/F44</f>
        <v>246.55768993119494</v>
      </c>
    </row>
    <row r="46" spans="2:11" x14ac:dyDescent="0.25">
      <c r="B46" s="10" t="s">
        <v>50</v>
      </c>
      <c r="F46" s="25">
        <f>F45-147.02</f>
        <v>99.537689931194933</v>
      </c>
    </row>
  </sheetData>
  <mergeCells count="1">
    <mergeCell ref="B5:G5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Street Estimates</vt:lpstr>
      <vt:lpstr>DCF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Shashwat Sharma</dc:creator>
  <cp:lastModifiedBy>Shashwat Sharma</cp:lastModifiedBy>
  <cp:lastPrinted>2022-07-09T01:53:52Z</cp:lastPrinted>
  <dcterms:created xsi:type="dcterms:W3CDTF">2022-07-08T21:07:32Z</dcterms:created>
  <dcterms:modified xsi:type="dcterms:W3CDTF">2022-07-11T02:38:46Z</dcterms:modified>
</cp:coreProperties>
</file>