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Курьяновский" sheetId="1" state="visible" r:id="rId2"/>
    <sheet name="Ч9 и серицит" sheetId="2" state="visible" r:id="rId3"/>
    <sheet name="свойства расплава" sheetId="3" state="visible" r:id="rId4"/>
    <sheet name="еще" sheetId="4" state="visible" r:id="rId5"/>
    <sheet name="конноды" sheetId="5" state="visible" r:id="rId6"/>
    <sheet name="диаграммка" sheetId="6" state="visible" r:id="rId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" authorId="0">
      <text>
        <r>
          <rPr>
            <b val="true"/>
            <sz val="8"/>
            <color rgb="FF000000"/>
            <rFont val="Tahoma"/>
            <family val="2"/>
            <charset val="204"/>
          </rPr>
          <t>otr62:расчет сделан  в двух щелочных системах, но в расчете коэффициента учтен кальций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5" authorId="0">
      <text>
        <r>
          <rPr>
            <b val="true"/>
            <sz val="8"/>
            <color rgb="FF000000"/>
            <rFont val="Tahoma"/>
            <family val="2"/>
            <charset val="204"/>
          </rPr>
          <t>otr62:расчет сделан  в двух щелочных системах, но в расчете коэффициента учтен кальций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5" authorId="0">
      <text>
        <r>
          <rPr>
            <b val="true"/>
            <sz val="8"/>
            <color rgb="FF000000"/>
            <rFont val="Tahoma"/>
            <family val="2"/>
            <charset val="204"/>
          </rPr>
          <t>otr62:расчет сделан  в двух щелочных системах, но в расчете коэффициента учтен кальций
</t>
        </r>
      </text>
    </comment>
  </commentList>
</comments>
</file>

<file path=xl/sharedStrings.xml><?xml version="1.0" encoding="utf-8"?>
<sst xmlns="http://schemas.openxmlformats.org/spreadsheetml/2006/main" count="395" uniqueCount="96">
  <si>
    <t>Розрахунок хімічного складу розплавів порід , що утоврюються при заданих умовах термообробки</t>
  </si>
  <si>
    <t>Назва матеріалу</t>
  </si>
  <si>
    <r>
      <t>Na</t>
    </r>
    <r>
      <rPr>
        <b val="true"/>
        <vertAlign val="subscript"/>
        <sz val="12"/>
        <rFont val="Times New Roman"/>
        <family val="1"/>
        <charset val="204"/>
      </rPr>
      <t>2</t>
    </r>
    <r>
      <rPr>
        <b val="true"/>
        <sz val="12"/>
        <rFont val="Times New Roman"/>
        <family val="1"/>
        <charset val="204"/>
      </rPr>
      <t>O-Al</t>
    </r>
    <r>
      <rPr>
        <b val="true"/>
        <vertAlign val="subscript"/>
        <sz val="12"/>
        <rFont val="Times New Roman"/>
        <family val="1"/>
        <charset val="204"/>
      </rPr>
      <t>2</t>
    </r>
    <r>
      <rPr>
        <b val="true"/>
        <sz val="12"/>
        <rFont val="Times New Roman"/>
        <family val="1"/>
        <charset val="204"/>
      </rPr>
      <t>O</t>
    </r>
    <r>
      <rPr>
        <b val="true"/>
        <vertAlign val="subscript"/>
        <sz val="12"/>
        <rFont val="Times New Roman"/>
        <family val="1"/>
        <charset val="204"/>
      </rPr>
      <t>3</t>
    </r>
    <r>
      <rPr>
        <b val="true"/>
        <sz val="12"/>
        <rFont val="Times New Roman"/>
        <family val="1"/>
        <charset val="204"/>
      </rPr>
      <t>-SiO</t>
    </r>
    <r>
      <rPr>
        <b val="true"/>
        <vertAlign val="subscript"/>
        <sz val="12"/>
        <rFont val="Times New Roman"/>
        <family val="1"/>
        <charset val="204"/>
      </rPr>
      <t>2</t>
    </r>
  </si>
  <si>
    <r>
      <t>К</t>
    </r>
    <r>
      <rPr>
        <b val="true"/>
        <vertAlign val="subscript"/>
        <sz val="12"/>
        <rFont val="Times New Roman"/>
        <family val="1"/>
        <charset val="204"/>
      </rPr>
      <t>2</t>
    </r>
    <r>
      <rPr>
        <b val="true"/>
        <sz val="12"/>
        <rFont val="Times New Roman"/>
        <family val="1"/>
        <charset val="204"/>
      </rPr>
      <t>O-Al</t>
    </r>
    <r>
      <rPr>
        <b val="true"/>
        <vertAlign val="subscript"/>
        <sz val="12"/>
        <rFont val="Times New Roman"/>
        <family val="1"/>
        <charset val="204"/>
      </rPr>
      <t>2</t>
    </r>
    <r>
      <rPr>
        <b val="true"/>
        <sz val="12"/>
        <rFont val="Times New Roman"/>
        <family val="1"/>
        <charset val="204"/>
      </rPr>
      <t>O</t>
    </r>
    <r>
      <rPr>
        <b val="true"/>
        <vertAlign val="subscript"/>
        <sz val="12"/>
        <rFont val="Times New Roman"/>
        <family val="1"/>
        <charset val="204"/>
      </rPr>
      <t>3</t>
    </r>
    <r>
      <rPr>
        <b val="true"/>
        <sz val="12"/>
        <rFont val="Times New Roman"/>
        <family val="1"/>
        <charset val="204"/>
      </rPr>
      <t>-SiO</t>
    </r>
    <r>
      <rPr>
        <b val="true"/>
        <vertAlign val="subscript"/>
        <sz val="12"/>
        <rFont val="Times New Roman"/>
        <family val="1"/>
        <charset val="204"/>
      </rPr>
      <t>2</t>
    </r>
  </si>
  <si>
    <t>Сумарний вміст оксидів в твердій фазі,%</t>
  </si>
  <si>
    <t>Вміст оксидів у складі породи, % </t>
  </si>
  <si>
    <t>Вміст оксидів у складі розплаву, % </t>
  </si>
  <si>
    <r>
      <t>SiO</t>
    </r>
    <r>
      <rPr>
        <vertAlign val="subscript"/>
        <sz val="10"/>
        <rFont val="Times New Roman"/>
        <family val="1"/>
        <charset val="204"/>
      </rPr>
      <t>2</t>
    </r>
  </si>
  <si>
    <r>
      <t>Al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  <r>
      <rPr>
        <vertAlign val="subscript"/>
        <sz val="10"/>
        <rFont val="Times New Roman"/>
        <family val="1"/>
        <charset val="204"/>
      </rPr>
      <t>3</t>
    </r>
  </si>
  <si>
    <r>
      <t>Na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</si>
  <si>
    <r>
      <t>K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</si>
  <si>
    <r>
      <t>TiO</t>
    </r>
    <r>
      <rPr>
        <vertAlign val="subscript"/>
        <sz val="10"/>
        <rFont val="Times New Roman"/>
        <family val="1"/>
        <charset val="204"/>
      </rPr>
      <t>2</t>
    </r>
  </si>
  <si>
    <r>
      <t>Fe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  <r>
      <rPr>
        <vertAlign val="subscript"/>
        <sz val="10"/>
        <rFont val="Times New Roman"/>
        <family val="1"/>
        <charset val="204"/>
      </rPr>
      <t>3</t>
    </r>
  </si>
  <si>
    <t>MnO</t>
  </si>
  <si>
    <t>MgO</t>
  </si>
  <si>
    <t>CaO</t>
  </si>
  <si>
    <r>
      <t>P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  <r>
      <rPr>
        <vertAlign val="subscript"/>
        <sz val="10"/>
        <rFont val="Times New Roman"/>
        <family val="1"/>
        <charset val="204"/>
      </rPr>
      <t>5</t>
    </r>
  </si>
  <si>
    <t>Сума</t>
  </si>
  <si>
    <r>
      <t>Темпе-ратура, </t>
    </r>
    <r>
      <rPr>
        <vertAlign val="superscript"/>
        <sz val="10"/>
        <rFont val="Times New Roman"/>
        <family val="1"/>
        <charset val="204"/>
      </rPr>
      <t>о</t>
    </r>
    <r>
      <rPr>
        <sz val="10"/>
        <rFont val="Times New Roman"/>
        <family val="1"/>
        <charset val="204"/>
      </rPr>
      <t>С</t>
    </r>
  </si>
  <si>
    <r>
      <t>Сума R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</si>
  <si>
    <r>
      <t>Коефіцієнт Na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O/R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</si>
  <si>
    <t>Кількість твердої фази по діаграмі, %</t>
  </si>
  <si>
    <t>Склад твердої фази, %</t>
  </si>
  <si>
    <t>Кількість твердої фази з урахуванням коефіцієнту,%</t>
  </si>
  <si>
    <t>Склад твердої фази з урахуванням коефіцієнту, %</t>
  </si>
  <si>
    <t>Вміст оксидів в твердій фазі, %</t>
  </si>
  <si>
    <r>
      <t>Коефіцієнт К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O/R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</t>
    </r>
  </si>
  <si>
    <t>А</t>
  </si>
  <si>
    <r>
      <t>NAS</t>
    </r>
    <r>
      <rPr>
        <vertAlign val="subscript"/>
        <sz val="10"/>
        <rFont val="Times New Roman"/>
        <family val="1"/>
        <charset val="204"/>
      </rPr>
      <t>2</t>
    </r>
  </si>
  <si>
    <r>
      <t>NАS</t>
    </r>
    <r>
      <rPr>
        <vertAlign val="subscript"/>
        <sz val="10"/>
        <rFont val="Times New Roman"/>
        <family val="1"/>
        <charset val="204"/>
      </rPr>
      <t>6</t>
    </r>
  </si>
  <si>
    <t>S</t>
  </si>
  <si>
    <r>
      <t>A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S</t>
    </r>
    <r>
      <rPr>
        <vertAlign val="subscript"/>
        <sz val="10"/>
        <rFont val="Times New Roman"/>
        <family val="1"/>
        <charset val="204"/>
      </rPr>
      <t>2</t>
    </r>
  </si>
  <si>
    <r>
      <t>КАS</t>
    </r>
    <r>
      <rPr>
        <vertAlign val="subscript"/>
        <sz val="10"/>
        <rFont val="Times New Roman"/>
        <family val="1"/>
        <charset val="204"/>
      </rPr>
      <t>6</t>
    </r>
  </si>
  <si>
    <r>
      <t>КАS</t>
    </r>
    <r>
      <rPr>
        <vertAlign val="subscript"/>
        <sz val="10"/>
        <rFont val="Times New Roman"/>
        <family val="1"/>
        <charset val="204"/>
      </rPr>
      <t>4</t>
    </r>
  </si>
  <si>
    <r>
      <t>К</t>
    </r>
    <r>
      <rPr>
        <vertAlign val="subscript"/>
        <sz val="10"/>
        <rFont val="Times New Roman"/>
        <family val="1"/>
        <charset val="204"/>
      </rPr>
      <t> 2</t>
    </r>
    <r>
      <rPr>
        <sz val="10"/>
        <rFont val="Times New Roman"/>
        <family val="1"/>
        <charset val="204"/>
      </rPr>
      <t>O </t>
    </r>
  </si>
  <si>
    <t>K3-K4 плагиоклаз-серицитовая порода</t>
  </si>
  <si>
    <t>Ch-9 кварц-пирофиллитовая порода</t>
  </si>
  <si>
    <t>Содержание оксидов в соединениях</t>
  </si>
  <si>
    <r>
      <t>Na</t>
    </r>
    <r>
      <rPr>
        <vertAlign val="subscript"/>
        <sz val="10"/>
        <rFont val="Arial Cyr"/>
        <family val="2"/>
        <charset val="204"/>
      </rPr>
      <t>2</t>
    </r>
    <r>
      <rPr>
        <sz val="10"/>
        <rFont val="Arial Cyr"/>
        <family val="2"/>
        <charset val="204"/>
      </rPr>
      <t>O</t>
    </r>
  </si>
  <si>
    <r>
      <t>Al</t>
    </r>
    <r>
      <rPr>
        <vertAlign val="subscript"/>
        <sz val="10"/>
        <rFont val="Arial Cyr"/>
        <family val="2"/>
        <charset val="204"/>
      </rPr>
      <t>2</t>
    </r>
    <r>
      <rPr>
        <sz val="10"/>
        <rFont val="Arial Cyr"/>
        <family val="2"/>
        <charset val="204"/>
      </rPr>
      <t>O</t>
    </r>
    <r>
      <rPr>
        <vertAlign val="subscript"/>
        <sz val="10"/>
        <rFont val="Arial Cyr"/>
        <family val="2"/>
        <charset val="204"/>
      </rPr>
      <t>3</t>
    </r>
  </si>
  <si>
    <r>
      <t>SiO</t>
    </r>
    <r>
      <rPr>
        <vertAlign val="subscript"/>
        <sz val="10"/>
        <rFont val="Arial Cyr"/>
        <family val="2"/>
        <charset val="204"/>
      </rPr>
      <t>2</t>
    </r>
  </si>
  <si>
    <r>
      <t>K</t>
    </r>
    <r>
      <rPr>
        <vertAlign val="subscript"/>
        <sz val="10"/>
        <rFont val="Arial Cyr"/>
        <family val="2"/>
        <charset val="204"/>
      </rPr>
      <t>2</t>
    </r>
    <r>
      <rPr>
        <sz val="10"/>
        <rFont val="Arial Cyr"/>
        <family val="2"/>
        <charset val="204"/>
      </rPr>
      <t>O</t>
    </r>
  </si>
  <si>
    <t>K3-K4</t>
  </si>
  <si>
    <t>A</t>
  </si>
  <si>
    <r>
      <t>NAS</t>
    </r>
    <r>
      <rPr>
        <vertAlign val="subscript"/>
        <sz val="10"/>
        <rFont val="Arial Cyr"/>
        <family val="2"/>
        <charset val="204"/>
      </rPr>
      <t>2</t>
    </r>
  </si>
  <si>
    <r>
      <t>NAS</t>
    </r>
    <r>
      <rPr>
        <vertAlign val="subscript"/>
        <sz val="10"/>
        <rFont val="Arial Cyr"/>
        <family val="2"/>
        <charset val="204"/>
      </rPr>
      <t>6</t>
    </r>
    <r>
      <rPr>
        <sz val="10"/>
        <rFont val="Arial Cyr"/>
        <family val="2"/>
        <charset val="204"/>
      </rPr>
      <t> </t>
    </r>
  </si>
  <si>
    <t>Кількість розплаву</t>
  </si>
  <si>
    <r>
      <t>KAS</t>
    </r>
    <r>
      <rPr>
        <vertAlign val="subscript"/>
        <sz val="10"/>
        <rFont val="Arial Cyr"/>
        <family val="2"/>
        <charset val="204"/>
      </rPr>
      <t>6</t>
    </r>
  </si>
  <si>
    <t>Ch-9</t>
  </si>
  <si>
    <r>
      <t>A</t>
    </r>
    <r>
      <rPr>
        <vertAlign val="subscript"/>
        <sz val="10"/>
        <rFont val="Arial Cyr"/>
        <family val="2"/>
        <charset val="204"/>
      </rPr>
      <t>3</t>
    </r>
    <r>
      <rPr>
        <sz val="10"/>
        <rFont val="Arial Cyr"/>
        <family val="2"/>
        <charset val="204"/>
      </rPr>
      <t>S</t>
    </r>
    <r>
      <rPr>
        <vertAlign val="subscript"/>
        <sz val="10"/>
        <rFont val="Arial Cyr"/>
        <family val="2"/>
        <charset val="204"/>
      </rPr>
      <t>2</t>
    </r>
  </si>
  <si>
    <t>Вміст оксидів в розплаві перерахований на 100 %</t>
  </si>
  <si>
    <r>
      <t>КAS</t>
    </r>
    <r>
      <rPr>
        <vertAlign val="subscript"/>
        <sz val="10"/>
        <rFont val="Arial Cyr"/>
        <family val="2"/>
        <charset val="204"/>
      </rPr>
      <t>4</t>
    </r>
  </si>
  <si>
    <t>Матеріал</t>
  </si>
  <si>
    <r>
      <t>Т, </t>
    </r>
    <r>
      <rPr>
        <vertAlign val="superscript"/>
        <sz val="10"/>
        <rFont val="Arial Cyr"/>
        <family val="2"/>
        <charset val="204"/>
      </rPr>
      <t>о</t>
    </r>
    <r>
      <rPr>
        <sz val="10"/>
        <rFont val="Arial Cyr"/>
        <family val="2"/>
        <charset val="204"/>
      </rPr>
      <t>С</t>
    </r>
  </si>
  <si>
    <t>Вміст оксидів, мас. %</t>
  </si>
  <si>
    <t>активность расплава</t>
  </si>
  <si>
    <t>расплав</t>
  </si>
  <si>
    <r>
      <t>ТКЛР α</t>
    </r>
    <r>
      <rPr>
        <sz val="10"/>
        <rFont val="Times New Roman"/>
        <family val="1"/>
        <charset val="204"/>
      </rPr>
      <t>·</t>
    </r>
    <r>
      <rPr>
        <sz val="10"/>
        <rFont val="Arial Cyr"/>
        <family val="2"/>
        <charset val="204"/>
      </rPr>
      <t>10</t>
    </r>
    <r>
      <rPr>
        <vertAlign val="superscript"/>
        <sz val="10"/>
        <rFont val="Arial Cyr"/>
        <family val="2"/>
        <charset val="204"/>
      </rPr>
      <t>7</t>
    </r>
  </si>
  <si>
    <r>
      <t>Логарифм в’язкості, </t>
    </r>
    <r>
      <rPr>
        <i val="true"/>
        <sz val="10"/>
        <rFont val="Arial Cyr"/>
        <family val="2"/>
        <charset val="204"/>
      </rPr>
      <t>lg n</t>
    </r>
  </si>
  <si>
    <r>
      <t>В’язкість, </t>
    </r>
    <r>
      <rPr>
        <i val="true"/>
        <sz val="10"/>
        <rFont val="Arial Cyr"/>
        <family val="2"/>
        <charset val="204"/>
      </rPr>
      <t>n</t>
    </r>
  </si>
  <si>
    <r>
      <t>Поверхневий натяг, </t>
    </r>
    <r>
      <rPr>
        <sz val="10"/>
        <rFont val="Times New Roman"/>
        <family val="1"/>
        <charset val="204"/>
      </rPr>
      <t>σ·</t>
    </r>
    <r>
      <rPr>
        <sz val="10"/>
        <rFont val="Arial Cyr"/>
        <family val="2"/>
        <charset val="204"/>
      </rPr>
      <t>10</t>
    </r>
    <r>
      <rPr>
        <vertAlign val="superscript"/>
        <sz val="10"/>
        <rFont val="Arial Cyr"/>
        <family val="2"/>
        <charset val="204"/>
      </rPr>
      <t>3</t>
    </r>
  </si>
  <si>
    <r>
      <t>Активність розплаву,</t>
    </r>
    <r>
      <rPr>
        <i val="true"/>
        <sz val="10"/>
        <rFont val="Arial Cyr"/>
        <family val="2"/>
        <charset val="204"/>
      </rPr>
      <t> К</t>
    </r>
    <r>
      <rPr>
        <i val="true"/>
        <vertAlign val="subscript"/>
        <sz val="10"/>
        <rFont val="Arial Cyr"/>
        <family val="2"/>
        <charset val="204"/>
      </rPr>
      <t>акт</t>
    </r>
  </si>
  <si>
    <t>ПШМ</t>
  </si>
  <si>
    <t>КПШМ</t>
  </si>
  <si>
    <t>Відход (пил)</t>
  </si>
  <si>
    <t>Пегматит незбагачений</t>
  </si>
  <si>
    <t>Кварцовий пісок</t>
  </si>
  <si>
    <t>Т полного плавления</t>
  </si>
  <si>
    <t>Т начала образ. Расплава</t>
  </si>
  <si>
    <t>К</t>
  </si>
  <si>
    <t>Na</t>
  </si>
  <si>
    <t>коэф. K</t>
  </si>
  <si>
    <t>коэф. Na</t>
  </si>
  <si>
    <t>К3-К4</t>
  </si>
  <si>
    <t>Сh-9</t>
  </si>
  <si>
    <t>Температура повного плавління</t>
  </si>
  <si>
    <t>Температура початку утворення розплаву</t>
  </si>
  <si>
    <t>Соединение</t>
  </si>
  <si>
    <t>K</t>
  </si>
  <si>
    <r>
      <t>NAS</t>
    </r>
    <r>
      <rPr>
        <vertAlign val="subscript"/>
        <sz val="10"/>
        <rFont val="Arial Cyr"/>
        <family val="2"/>
        <charset val="204"/>
      </rPr>
      <t>6</t>
    </r>
  </si>
  <si>
    <t>Тетраэдр A3S2-A-NAS6-KAS6</t>
  </si>
  <si>
    <t>Тетраэдр A3S2-NAS6-KAS6-S</t>
  </si>
  <si>
    <t>A3S2-A</t>
  </si>
  <si>
    <t>A3S2-NAS6</t>
  </si>
  <si>
    <t>A-NAS6</t>
  </si>
  <si>
    <t>NAS6-KAS6</t>
  </si>
  <si>
    <t>KAS6-S</t>
  </si>
  <si>
    <t>KAS6-A3S2</t>
  </si>
  <si>
    <t>S-A3S2</t>
  </si>
  <si>
    <r>
      <t>NaАS</t>
    </r>
    <r>
      <rPr>
        <vertAlign val="subscript"/>
        <sz val="10"/>
        <rFont val="Times New Roman"/>
        <family val="1"/>
        <charset val="204"/>
      </rPr>
      <t>6</t>
    </r>
  </si>
  <si>
    <r>
      <t>К 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O </t>
    </r>
  </si>
  <si>
    <t>ПМШ</t>
  </si>
  <si>
    <t>КПМШ</t>
  </si>
  <si>
    <t>Відходи (пил)</t>
  </si>
  <si>
    <t>Кварцовий продукт</t>
  </si>
  <si>
    <r>
      <t>NaAS</t>
    </r>
    <r>
      <rPr>
        <vertAlign val="subscript"/>
        <sz val="10"/>
        <rFont val="Arial Cyr"/>
        <family val="2"/>
        <charset val="204"/>
      </rPr>
      <t>6</t>
    </r>
    <r>
      <rPr>
        <sz val="10"/>
        <rFont val="Arial Cyr"/>
        <family val="2"/>
        <charset val="204"/>
      </rPr>
      <t> 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</si>
</sst>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"/>
    <numFmt numFmtId="167" formatCode="0.000000000"/>
    <numFmt numFmtId="168" formatCode="0"/>
    <numFmt numFmtId="169" formatCode="0.0"/>
    <numFmt numFmtId="170" formatCode="0.000"/>
  </numFmts>
  <fonts count="41">
    <font>
      <sz val="10"/>
      <name val="Arial Cyr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name val="Arial Cyr"/>
      <family val="2"/>
      <charset val="204"/>
    </font>
    <font>
      <sz val="10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vertAlign val="subscript"/>
      <sz val="12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bscript"/>
      <sz val="10"/>
      <name val="Arial Cyr"/>
      <family val="2"/>
      <charset val="204"/>
    </font>
    <font>
      <vertAlign val="superscript"/>
      <sz val="10"/>
      <name val="Arial Cyr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2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 val="true"/>
      <sz val="24"/>
      <color rgb="FF000000"/>
      <name val="Times New Roman"/>
      <family val="2"/>
    </font>
    <font>
      <sz val="16"/>
      <color rgb="FF000000"/>
      <name val="Calibri"/>
      <family val="2"/>
    </font>
    <font>
      <sz val="18"/>
      <color rgb="FF000000"/>
      <name val="Times New Roman"/>
      <family val="2"/>
    </font>
    <font>
      <b val="true"/>
      <sz val="18"/>
      <color rgb="FF000000"/>
      <name val="Times New Roman"/>
      <family val="2"/>
    </font>
    <font>
      <sz val="13"/>
      <color rgb="FF000000"/>
      <name val="Times New Roman"/>
      <family val="2"/>
    </font>
    <font>
      <sz val="14"/>
      <color rgb="FF000000"/>
      <name val="Times New Roman"/>
      <family val="2"/>
    </font>
    <font>
      <i val="true"/>
      <sz val="10"/>
      <name val="Arial Cyr"/>
      <family val="2"/>
      <charset val="204"/>
    </font>
    <font>
      <i val="true"/>
      <vertAlign val="subscript"/>
      <sz val="10"/>
      <name val="Arial Cyr"/>
      <family val="2"/>
      <charset val="204"/>
    </font>
    <font>
      <b val="true"/>
      <sz val="12"/>
      <color rgb="FF000000"/>
      <name val="Times New Roman"/>
      <family val="2"/>
    </font>
    <font>
      <sz val="10"/>
      <color rgb="FF000000"/>
      <name val="Arial Cyr"/>
      <family val="2"/>
    </font>
    <font>
      <sz val="10"/>
      <color rgb="FFFF0000"/>
      <name val="Arial Cyr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0"/>
      <color rgb="FFFF0000"/>
      <name val="Times New Roman"/>
      <family val="1"/>
      <charset val="204"/>
    </font>
    <font>
      <sz val="16.25"/>
      <color rgb="FF000000"/>
      <name val="Arial Cyr"/>
      <family val="2"/>
    </font>
    <font>
      <sz val="8.25"/>
      <color rgb="FF000000"/>
      <name val="Arial Cyr"/>
      <family val="2"/>
    </font>
    <font>
      <sz val="10.75"/>
      <color rgb="FF000000"/>
      <name val="Arial Cyr"/>
      <family val="2"/>
    </font>
    <font>
      <sz val="15"/>
      <color rgb="FF000000"/>
      <name val="Arial Cyr"/>
      <family val="2"/>
    </font>
    <font>
      <b val="true"/>
      <sz val="12"/>
      <color rgb="FF000000"/>
      <name val="Arial Cyr"/>
      <family val="2"/>
    </font>
    <font>
      <b val="true"/>
      <vertAlign val="superscript"/>
      <sz val="12"/>
      <color rgb="FF000000"/>
      <name val="Arial Cyr"/>
      <family val="2"/>
    </font>
    <font>
      <sz val="10.25"/>
      <color rgb="FF000000"/>
      <name val="Arial Cyr"/>
      <family val="2"/>
    </font>
    <font>
      <sz val="9.5"/>
      <color rgb="FF000000"/>
      <name val="Arial Cyr"/>
      <family val="2"/>
    </font>
    <font>
      <sz val="9.4"/>
      <color rgb="FF000000"/>
      <name val="Arial Cyr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2E860"/>
      </patternFill>
    </fill>
    <fill>
      <patternFill patternType="solid">
        <fgColor rgb="FF33CCCC"/>
        <bgColor rgb="FF46AAC4"/>
      </patternFill>
    </fill>
    <fill>
      <patternFill patternType="solid">
        <fgColor rgb="FFC0C0C0"/>
        <bgColor rgb="FF93A9CE"/>
      </patternFill>
    </fill>
    <fill>
      <patternFill patternType="solid">
        <fgColor rgb="FF99CCFF"/>
        <bgColor rgb="FF8EB4E3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2E860"/>
      </patternFill>
    </fill>
    <fill>
      <patternFill patternType="solid">
        <fgColor rgb="FFCCFFFF"/>
        <bgColor rgb="FFCCFFCC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9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7" borderId="3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4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7" borderId="4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8AA64F"/>
      <rgbColor rgb="FF0000FF"/>
      <rgbColor rgb="FFFFFF00"/>
      <rgbColor rgb="FFFFC000"/>
      <rgbColor rgb="FF558ED5"/>
      <rgbColor rgb="FFAA6600"/>
      <rgbColor rgb="FF76765E"/>
      <rgbColor rgb="FF000080"/>
      <rgbColor rgb="FF765E00"/>
      <rgbColor rgb="FFBE4B48"/>
      <rgbColor rgb="FF4299B0"/>
      <rgbColor rgb="FFC0C0C0"/>
      <rgbColor rgb="FF808080"/>
      <rgbColor rgb="FF9999FF"/>
      <rgbColor rgb="FF993366"/>
      <rgbColor rgb="FFFFFFCC"/>
      <rgbColor rgb="FFCCFFFF"/>
      <rgbColor rgb="FF7D5FA0"/>
      <rgbColor rgb="FFF59240"/>
      <rgbColor rgb="FF4672A8"/>
      <rgbColor rgb="FF8EB4E3"/>
      <rgbColor rgb="FF000080"/>
      <rgbColor rgb="FFFF00FF"/>
      <rgbColor rgb="FFF2E860"/>
      <rgbColor rgb="FF00FFFF"/>
      <rgbColor rgb="FFC0504D"/>
      <rgbColor rgb="FFE46C0A"/>
      <rgbColor rgb="FF4A7EBB"/>
      <rgbColor rgb="FF0000FF"/>
      <rgbColor rgb="FF46AAC4"/>
      <rgbColor rgb="FF98B855"/>
      <rgbColor rgb="FFCCFFCC"/>
      <rgbColor rgb="FFFFFF99"/>
      <rgbColor rgb="FF99CCFF"/>
      <rgbColor rgb="FFDC853E"/>
      <rgbColor rgb="FF93A9CE"/>
      <rgbColor rgb="FFFFCC99"/>
      <rgbColor rgb="FF3366FF"/>
      <rgbColor rgb="FF33CCCC"/>
      <rgbColor rgb="FF99CC00"/>
      <rgbColor rgb="FFFFCC00"/>
      <rgbColor rgb="FFFF9900"/>
      <rgbColor rgb="FFFF6600"/>
      <rgbColor rgb="FF725990"/>
      <rgbColor rgb="FF878787"/>
      <rgbColor rgb="FF172F76"/>
      <rgbColor rgb="FF31859C"/>
      <rgbColor rgb="FF4F81BD"/>
      <rgbColor rgb="FF465E00"/>
      <rgbColor rgb="FF762F00"/>
      <rgbColor rgb="FFAB4744"/>
      <rgbColor rgb="FF464676"/>
      <rgbColor rgb="FF4617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Розрахований склад  продуктів термообробки  плагіоклаз-серицитової сировини</a:t>
            </a:r>
          </a:p>
        </c:rich>
      </c:tx>
      <c:layout/>
    </c:title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Курьяновский!$C$34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Курьяновский!$C$35:$C$40</c:f>
              <c:numCache>
                <c:formatCode>General</c:formatCode>
                <c:ptCount val="6"/>
                <c:pt idx="0">
                  <c:v>3.51463087248322</c:v>
                </c:pt>
                <c:pt idx="1">
                  <c:v>3.22147651006711</c:v>
                </c:pt>
                <c:pt idx="2">
                  <c:v>2.81879194630873</c:v>
                </c:pt>
                <c:pt idx="3">
                  <c:v>2.57718120805369</c:v>
                </c:pt>
                <c:pt idx="4">
                  <c:v>2.25503355704698</c:v>
                </c:pt>
                <c:pt idx="5">
                  <c:v>22.9060402684564</c:v>
                </c:pt>
              </c:numCache>
            </c:numRef>
          </c:val>
        </c:ser>
        <c:ser>
          <c:idx val="1"/>
          <c:order val="1"/>
          <c:tx>
            <c:strRef>
              <c:f>Курьяновский!$D$34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Курьяновский!$D$35:$D$40</c:f>
              <c:numCache>
                <c:formatCode>General</c:formatCode>
                <c:ptCount val="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Курьяновский!$E$34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Курьяновский!$E$35:$E$40</c:f>
              <c:numCache>
                <c:formatCode>General</c:formatCode>
                <c:ptCount val="6"/>
                <c:pt idx="0">
                  <c:v>38.2130872483221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Курьяновский!$F$34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Курьяновский!$F$35:$F$40</c:f>
              <c:numCache>
                <c:formatCode>General</c:formatCode>
                <c:ptCount val="6"/>
                <c:pt idx="0">
                  <c:v>10.251677852349</c:v>
                </c:pt>
                <c:pt idx="1">
                  <c:v>30.0335570469799</c:v>
                </c:pt>
                <c:pt idx="2">
                  <c:v>28.5234899328859</c:v>
                </c:pt>
                <c:pt idx="3">
                  <c:v>27.2651006711409</c:v>
                </c:pt>
                <c:pt idx="4">
                  <c:v>26.006711409396</c:v>
                </c:pt>
                <c:pt idx="5">
                  <c:v>6.29194630872483</c:v>
                </c:pt>
              </c:numCache>
            </c:numRef>
          </c:val>
        </c:ser>
        <c:ser>
          <c:idx val="4"/>
          <c:order val="4"/>
          <c:tx>
            <c:strRef>
              <c:f>Курьяновский!$G$34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Курьяновский!$G$35:$G$40</c:f>
              <c:numCache>
                <c:formatCode>General</c:formatCode>
                <c:ptCount val="6"/>
                <c:pt idx="0">
                  <c:v>35.4278523489933</c:v>
                </c:pt>
                <c:pt idx="1">
                  <c:v>33.6409395973154</c:v>
                </c:pt>
                <c:pt idx="2">
                  <c:v>33.5570469798658</c:v>
                </c:pt>
                <c:pt idx="3">
                  <c:v>33.0536912751678</c:v>
                </c:pt>
                <c:pt idx="4">
                  <c:v>32.8859060402685</c:v>
                </c:pt>
                <c:pt idx="5">
                  <c:v>20.9731543624161</c:v>
                </c:pt>
              </c:numCache>
            </c:numRef>
          </c:val>
        </c:ser>
        <c:ser>
          <c:idx val="5"/>
          <c:order val="5"/>
          <c:tx>
            <c:strRef>
              <c:f>Курьяновский!$H$34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Курьяновский!$H$35:$H$40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Курьяновский!$I$34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Курьяновский!$I$35:$I$40</c:f>
              <c:numCache>
                <c:formatCode>General</c:formatCode>
                <c:ptCount val="6"/>
                <c:pt idx="0">
                  <c:v>12.4327516778524</c:v>
                </c:pt>
                <c:pt idx="1">
                  <c:v>33.1040268456376</c:v>
                </c:pt>
                <c:pt idx="2">
                  <c:v>35.1006711409396</c:v>
                </c:pt>
                <c:pt idx="3">
                  <c:v>37.1040268456376</c:v>
                </c:pt>
                <c:pt idx="4">
                  <c:v>38.8523489932886</c:v>
                </c:pt>
                <c:pt idx="5">
                  <c:v>49.8288590604027</c:v>
                </c:pt>
              </c:numCache>
            </c:numRef>
          </c:val>
        </c:ser>
        <c:gapWidth val="75"/>
        <c:shape val="box"/>
        <c:axId val="35888350"/>
        <c:axId val="89639581"/>
        <c:axId val="0"/>
      </c:bar3DChart>
      <c:catAx>
        <c:axId val="35888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39581"/>
        <c:crosses val="autoZero"/>
        <c:auto val="1"/>
        <c:lblAlgn val="ctr"/>
        <c:lblOffset val="100"/>
      </c:catAx>
      <c:valAx>
        <c:axId val="89639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35888350"/>
        <c:crosses val="autoZero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серицит'!$AD$27:$AD$32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серицит'!$AF$27:$AF$32</c:f>
              <c:numCache>
                <c:formatCode>General</c:formatCode>
                <c:ptCount val="6"/>
                <c:pt idx="0">
                  <c:v>12.9800000000002</c:v>
                </c:pt>
                <c:pt idx="1">
                  <c:v>17.4800000000002</c:v>
                </c:pt>
                <c:pt idx="2">
                  <c:v>23.2300000000002</c:v>
                </c:pt>
                <c:pt idx="3">
                  <c:v>28.9800000000002</c:v>
                </c:pt>
                <c:pt idx="4">
                  <c:v>34.9800000000002</c:v>
                </c:pt>
                <c:pt idx="5">
                  <c:v>42.2300000000002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серицит'!$AD$27:$AD$32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серицит'!$AE$27:$AE$32</c:f>
              <c:numCache>
                <c:formatCode>General</c:formatCode>
                <c:ptCount val="6"/>
                <c:pt idx="0">
                  <c:v>12.4316778523503</c:v>
                </c:pt>
                <c:pt idx="1">
                  <c:v>33.1040268456385</c:v>
                </c:pt>
                <c:pt idx="2">
                  <c:v>35.1006711409405</c:v>
                </c:pt>
                <c:pt idx="3">
                  <c:v>37.1040268456385</c:v>
                </c:pt>
                <c:pt idx="4">
                  <c:v>38.8523489932894</c:v>
                </c:pt>
                <c:pt idx="5">
                  <c:v>49.828859060403</c:v>
                </c:pt>
              </c:numCache>
            </c:numRef>
          </c:val>
        </c:ser>
        <c:gapWidth val="150"/>
        <c:overlap val="0"/>
        <c:axId val="39060549"/>
        <c:axId val="40233811"/>
      </c:barChart>
      <c:catAx>
        <c:axId val="390605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233811"/>
        <c:crosses val="autoZero"/>
        <c:auto val="1"/>
        <c:lblAlgn val="ctr"/>
        <c:lblOffset val="100"/>
      </c:catAx>
      <c:valAx>
        <c:axId val="40233811"/>
        <c:scaling>
          <c:orientation val="minMax"/>
          <c:max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06054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Times New Roman"/>
              </a:rPr>
              <a:t>Плагиоклаз-серицитовая порода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'Ч9 и серицит'!$C$34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diamond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серицит'!$C$35:$C$40</c:f>
              <c:numCache>
                <c:formatCode>General</c:formatCode>
                <c:ptCount val="6"/>
                <c:pt idx="0">
                  <c:v>3.51463087248322</c:v>
                </c:pt>
                <c:pt idx="1">
                  <c:v>3.22147651006711</c:v>
                </c:pt>
                <c:pt idx="2">
                  <c:v>2.81879194630873</c:v>
                </c:pt>
                <c:pt idx="3">
                  <c:v>2.57718120805369</c:v>
                </c:pt>
                <c:pt idx="4">
                  <c:v>2.25503355704698</c:v>
                </c:pt>
                <c:pt idx="5">
                  <c:v>22.9060402684564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'Ч9 и серицит'!$D$34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10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серицит'!$D$35:$D$40</c:f>
              <c:numCache>
                <c:formatCode>General</c:formatCode>
                <c:ptCount val="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'Ч9 и серицит'!$E$34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13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серицит'!$E$35:$E$40</c:f>
              <c:numCache>
                <c:formatCode>General</c:formatCode>
                <c:ptCount val="6"/>
                <c:pt idx="0">
                  <c:v>38.2130872483221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'Ч9 и серицит'!$F$34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x"/>
            <c:size val="12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серицит'!$F$35:$F$40</c:f>
              <c:numCache>
                <c:formatCode>General</c:formatCode>
                <c:ptCount val="6"/>
                <c:pt idx="0">
                  <c:v>10.251677852349</c:v>
                </c:pt>
                <c:pt idx="1">
                  <c:v>30.0335570469799</c:v>
                </c:pt>
                <c:pt idx="2">
                  <c:v>28.5234899328859</c:v>
                </c:pt>
                <c:pt idx="3">
                  <c:v>27.2651006711409</c:v>
                </c:pt>
                <c:pt idx="4">
                  <c:v>26.006711409396</c:v>
                </c:pt>
                <c:pt idx="5">
                  <c:v>6.29194630872483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'Ч9 и серицит'!$G$34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triangle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серицит'!$G$35:$G$40</c:f>
              <c:numCache>
                <c:formatCode>General</c:formatCode>
                <c:ptCount val="6"/>
                <c:pt idx="0">
                  <c:v>35.4278523489933</c:v>
                </c:pt>
                <c:pt idx="1">
                  <c:v>33.6409395973154</c:v>
                </c:pt>
                <c:pt idx="2">
                  <c:v>33.5570469798658</c:v>
                </c:pt>
                <c:pt idx="3">
                  <c:v>33.0536912751678</c:v>
                </c:pt>
                <c:pt idx="4">
                  <c:v>32.8859060402685</c:v>
                </c:pt>
                <c:pt idx="5">
                  <c:v>20.9731543624161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'Ч9 и серицит'!$I$34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серицит'!$I$35:$I$40</c:f>
              <c:numCache>
                <c:formatCode>General</c:formatCode>
                <c:ptCount val="6"/>
                <c:pt idx="0">
                  <c:v>12.4327516778524</c:v>
                </c:pt>
                <c:pt idx="1">
                  <c:v>33.1040268456376</c:v>
                </c:pt>
                <c:pt idx="2">
                  <c:v>35.1006711409396</c:v>
                </c:pt>
                <c:pt idx="3">
                  <c:v>37.1040268456376</c:v>
                </c:pt>
                <c:pt idx="4">
                  <c:v>38.8523489932886</c:v>
                </c:pt>
                <c:pt idx="5">
                  <c:v>49.8288590604027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2656641"/>
        <c:axId val="7930227"/>
      </c:lineChart>
      <c:catAx>
        <c:axId val="82656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300"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30227"/>
        <c:crosses val="autoZero"/>
        <c:auto val="1"/>
        <c:lblAlgn val="ctr"/>
        <c:lblOffset val="100"/>
      </c:catAx>
      <c:valAx>
        <c:axId val="7930227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6566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solidFill>
                  <a:srgbClr val="000000"/>
                </a:solidFill>
                <a:latin typeface="Times New Roman"/>
              </a:rPr>
              <a:t>Кварц-пирофиллитовая порода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'Ч9 и серицит'!$G$42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31859c"/>
            </a:solidFill>
            <a:ln w="28440">
              <a:solidFill>
                <a:srgbClr val="31859c"/>
              </a:solidFill>
              <a:round/>
            </a:ln>
          </c:spPr>
          <c:marker>
            <c:symbol val="triangle"/>
            <c:size val="12"/>
            <c:spPr>
              <a:solidFill>
                <a:srgbClr val="31859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серицит'!$G$43:$G$48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19.75</c:v>
                </c:pt>
                <c:pt idx="3">
                  <c:v>19.5</c:v>
                </c:pt>
                <c:pt idx="4">
                  <c:v>19.25</c:v>
                </c:pt>
                <c:pt idx="5">
                  <c:v>19.25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'Ч9 и серицит'!$H$42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9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серицит'!$H$43:$H$48</c:f>
              <c:numCache>
                <c:formatCode>General</c:formatCode>
                <c:ptCount val="6"/>
                <c:pt idx="0">
                  <c:v>67</c:v>
                </c:pt>
                <c:pt idx="1">
                  <c:v>62.5</c:v>
                </c:pt>
                <c:pt idx="2">
                  <c:v>57</c:v>
                </c:pt>
                <c:pt idx="3">
                  <c:v>51.5</c:v>
                </c:pt>
                <c:pt idx="4">
                  <c:v>45.75</c:v>
                </c:pt>
                <c:pt idx="5">
                  <c:v>38.5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'Ч9 и серицит'!$I$42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circle"/>
            <c:size val="10"/>
            <c:spPr>
              <a:solidFill>
                <a:srgbClr val="e46c0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серицит'!$I$43:$I$48</c:f>
              <c:numCache>
                <c:formatCode>General</c:formatCode>
                <c:ptCount val="6"/>
                <c:pt idx="0">
                  <c:v>13</c:v>
                </c:pt>
                <c:pt idx="1">
                  <c:v>17.5</c:v>
                </c:pt>
                <c:pt idx="2">
                  <c:v>23.25</c:v>
                </c:pt>
                <c:pt idx="3">
                  <c:v>29</c:v>
                </c:pt>
                <c:pt idx="4">
                  <c:v>35</c:v>
                </c:pt>
                <c:pt idx="5">
                  <c:v>42.25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021562"/>
        <c:axId val="23557018"/>
      </c:lineChart>
      <c:catAx>
        <c:axId val="3021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557018"/>
        <c:crosses val="autoZero"/>
        <c:auto val="1"/>
        <c:lblAlgn val="ctr"/>
        <c:lblOffset val="100"/>
      </c:catAx>
      <c:valAx>
        <c:axId val="23557018"/>
        <c:scaling>
          <c:orientation val="minMax"/>
          <c:max val="70"/>
          <c:min val="1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21562"/>
        <c:crosses val="autoZero"/>
        <c:majorUnit val="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Times New Roman"/>
                <a:ea typeface="Times New Roman"/>
              </a:rPr>
              <a:t>ТКЛР</a:t>
            </a:r>
          </a:p>
        </c:rich>
      </c:tx>
      <c:layout/>
    </c:title>
    <c:view3D>
      <c:rotX val="15"/>
      <c:rotY val="20"/>
      <c:rAngAx val="0"/>
      <c:perspective val="30"/>
    </c:view3D>
    <c:floor>
      <c:spPr>
        <a:solidFill>
          <a:srgbClr val="ffffff"/>
        </a:solidFill>
        <a:ln w="3240">
          <a:solidFill>
            <a:srgbClr val="000000"/>
          </a:solidFill>
          <a:round/>
        </a:ln>
      </c:spPr>
    </c:floor>
    <c:backWall>
      <c:spPr>
        <a:solidFill>
          <a:srgbClr val="ffffff"/>
        </a:solidFill>
        <a:ln w="12600">
          <a:solidFill>
            <a:srgbClr val="808080"/>
          </a:solidFill>
          <a:round/>
        </a:ln>
      </c:spPr>
    </c:backWall>
    <c:plotArea>
      <c:layout/>
      <c:area3DChart>
        <c:grouping val="standard"/>
        <c:ser>
          <c:idx val="0"/>
          <c:order val="0"/>
          <c:tx>
            <c:strRef>
              <c:f>'свойства расплава'!$D$5</c:f>
              <c:strCache>
                <c:ptCount val="1"/>
                <c:pt idx="0">
                  <c:v>1100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dLbl>
              <c:idx val="0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val>
            <c:numRef>
              <c:f>'свойства расплава'!$E$5,'свойства расплава'!$E$8,'свойства расплава'!$E$11,'свойства расплава'!$E$14,'свойства расплава'!$E$17</c:f>
              <c:numCache>
                <c:formatCode>General</c:formatCode>
                <c:ptCount val="5"/>
                <c:pt idx="0">
                  <c:v>65.6997500112977</c:v>
                </c:pt>
                <c:pt idx="1">
                  <c:v>64.0244026750601</c:v>
                </c:pt>
                <c:pt idx="2">
                  <c:v>56.9339660498645</c:v>
                </c:pt>
                <c:pt idx="3">
                  <c:v>55.1589469331066</c:v>
                </c:pt>
                <c:pt idx="4">
                  <c:v>52.4715421955913</c:v>
                </c:pt>
              </c:numCache>
            </c:numRef>
          </c:val>
        </c:ser>
        <c:ser>
          <c:idx val="1"/>
          <c:order val="1"/>
          <c:tx>
            <c:strRef>
              <c:f>'свойства расплава'!$D$9</c:f>
              <c:strCache>
                <c:ptCount val="1"/>
                <c:pt idx="0">
                  <c:v>1150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расплава'!$E$6,'свойства расплава'!$E$9,'свойства расплава'!$E$12,'свойства расплава'!$E$15,'свойства расплава'!$E$18</c:f>
              <c:numCache>
                <c:formatCode>General</c:formatCode>
                <c:ptCount val="5"/>
                <c:pt idx="0">
                  <c:v>66.4971162877943</c:v>
                </c:pt>
                <c:pt idx="1">
                  <c:v>63.984885276849</c:v>
                </c:pt>
                <c:pt idx="2">
                  <c:v>56.7547219212835</c:v>
                </c:pt>
                <c:pt idx="3">
                  <c:v>55.110536324186</c:v>
                </c:pt>
                <c:pt idx="4">
                  <c:v>50.6115641226848</c:v>
                </c:pt>
              </c:numCache>
            </c:numRef>
          </c:val>
        </c:ser>
        <c:ser>
          <c:idx val="2"/>
          <c:order val="2"/>
          <c:tx>
            <c:strRef>
              <c:f>'свойства расплава'!$D$10</c:f>
              <c:strCache>
                <c:ptCount val="1"/>
                <c:pt idx="0">
                  <c:v>1200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расплава'!$E$7,'свойства расплава'!$E$10,'свойства расплава'!$E$13,'свойства расплава'!$E$16,'свойства расплава'!$E$19</c:f>
              <c:numCache>
                <c:formatCode>General</c:formatCode>
                <c:ptCount val="5"/>
                <c:pt idx="0">
                  <c:v>67.4835610671285</c:v>
                </c:pt>
                <c:pt idx="1">
                  <c:v>63.9407268501503</c:v>
                </c:pt>
                <c:pt idx="2">
                  <c:v>56.5665209993664</c:v>
                </c:pt>
                <c:pt idx="3">
                  <c:v>54.9125481699805</c:v>
                </c:pt>
                <c:pt idx="4">
                  <c:v>48.7459262701772</c:v>
                </c:pt>
              </c:numCache>
            </c:numRef>
          </c:val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</c:ser>
        <c:axId val="6393003"/>
        <c:axId val="40338855"/>
        <c:axId val="71373889"/>
      </c:area3DChart>
      <c:catAx>
        <c:axId val="6393003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40338855"/>
        <c:crosses val="autoZero"/>
        <c:auto val="1"/>
        <c:lblAlgn val="ctr"/>
        <c:lblOffset val="100"/>
      </c:catAx>
      <c:valAx>
        <c:axId val="40338855"/>
        <c:scaling>
          <c:orientation val="minMax"/>
          <c:min val="4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393003"/>
        <c:crosses val="autoZero"/>
      </c:valAx>
      <c:catAx>
        <c:axId val="7137388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40338855"/>
        <c:crosses val="autoZero"/>
        <c:auto val="1"/>
        <c:lblAlgn val="ctr"/>
        <c:lblOffset val="100"/>
      </c:cat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Times New Roman"/>
                <a:ea typeface="Times New Roman"/>
              </a:rPr>
              <a:t>Поверхневий натяг</a:t>
            </a:r>
          </a:p>
        </c:rich>
      </c:tx>
      <c:layout/>
    </c:title>
    <c:view3D>
      <c:rotX val="15"/>
      <c:rotY val="20"/>
      <c:rAngAx val="0"/>
      <c:perspective val="30"/>
    </c:view3D>
    <c:floor>
      <c:spPr>
        <a:solidFill>
          <a:srgbClr val="ffffff"/>
        </a:solidFill>
        <a:ln w="3240">
          <a:solidFill>
            <a:srgbClr val="000000"/>
          </a:solidFill>
          <a:round/>
        </a:ln>
      </c:spPr>
    </c:floor>
    <c:backWall>
      <c:spPr>
        <a:solidFill>
          <a:srgbClr val="ffffff"/>
        </a:solidFill>
        <a:ln w="12600">
          <a:solidFill>
            <a:srgbClr val="808080"/>
          </a:solidFill>
          <a:round/>
        </a:ln>
      </c:spPr>
    </c:backWall>
    <c:plotArea>
      <c:layout/>
      <c:area3DChart>
        <c:grouping val="standard"/>
        <c:ser>
          <c:idx val="0"/>
          <c:order val="0"/>
          <c:tx>
            <c:strRef>
              <c:f>'свойства расплава'!$D$5</c:f>
              <c:strCache>
                <c:ptCount val="1"/>
                <c:pt idx="0">
                  <c:v>1100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dLbl>
              <c:idx val="0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val>
            <c:numRef>
              <c:f>'свойства расплава'!$H$5,'свойства расплава'!$H$8,'свойства расплава'!$H$11,'свойства расплава'!$H$14,'свойства расплава'!$H$17</c:f>
              <c:numCache>
                <c:formatCode>General</c:formatCode>
                <c:ptCount val="5"/>
                <c:pt idx="0">
                  <c:v>277.02564093675</c:v>
                </c:pt>
                <c:pt idx="1">
                  <c:v>274.918846800381</c:v>
                </c:pt>
                <c:pt idx="2">
                  <c:v>276.124448157527</c:v>
                </c:pt>
                <c:pt idx="3">
                  <c:v>275.094467765082</c:v>
                </c:pt>
                <c:pt idx="4">
                  <c:v>277.357058868043</c:v>
                </c:pt>
              </c:numCache>
            </c:numRef>
          </c:val>
        </c:ser>
        <c:ser>
          <c:idx val="1"/>
          <c:order val="1"/>
          <c:tx>
            <c:strRef>
              <c:f>'свойства расплава'!$D$9</c:f>
              <c:strCache>
                <c:ptCount val="1"/>
                <c:pt idx="0">
                  <c:v>1150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расплава'!$H$6,'свойства расплава'!$H$9,'свойства расплава'!$H$12,'свойства расплава'!$H$15,'свойства расплава'!$H$18</c:f>
              <c:numCache>
                <c:formatCode>General</c:formatCode>
                <c:ptCount val="5"/>
                <c:pt idx="0">
                  <c:v>277.037923118396</c:v>
                </c:pt>
                <c:pt idx="1">
                  <c:v>276.900169673798</c:v>
                </c:pt>
                <c:pt idx="2">
                  <c:v>278.374376303496</c:v>
                </c:pt>
                <c:pt idx="3">
                  <c:v>277.089713601952</c:v>
                </c:pt>
                <c:pt idx="4">
                  <c:v>278.137362884952</c:v>
                </c:pt>
              </c:numCache>
            </c:numRef>
          </c:val>
        </c:ser>
        <c:ser>
          <c:idx val="2"/>
          <c:order val="2"/>
          <c:tx>
            <c:strRef>
              <c:f>'свойства расплава'!$D$10</c:f>
              <c:strCache>
                <c:ptCount val="1"/>
                <c:pt idx="0">
                  <c:v>1200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расплава'!$H$7,'свойства расплава'!$H$10,'свойства расплава'!$H$13,'свойства расплава'!$H$16,'свойства расплава'!$H$19</c:f>
              <c:numCache>
                <c:formatCode>General</c:formatCode>
                <c:ptCount val="5"/>
                <c:pt idx="0">
                  <c:v>278.846801700524</c:v>
                </c:pt>
                <c:pt idx="1">
                  <c:v>278.913941622116</c:v>
                </c:pt>
                <c:pt idx="2">
                  <c:v>280.664278652588</c:v>
                </c:pt>
                <c:pt idx="3">
                  <c:v>279.448231106459</c:v>
                </c:pt>
                <c:pt idx="4">
                  <c:v>279.073224992521</c:v>
                </c:pt>
              </c:numCache>
            </c:numRef>
          </c:val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</c:ser>
        <c:axId val="75687745"/>
        <c:axId val="52437480"/>
        <c:axId val="57537895"/>
      </c:area3DChart>
      <c:catAx>
        <c:axId val="75687745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52437480"/>
        <c:crosses val="autoZero"/>
        <c:auto val="1"/>
        <c:lblAlgn val="ctr"/>
        <c:lblOffset val="100"/>
      </c:catAx>
      <c:valAx>
        <c:axId val="5243748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75687745"/>
        <c:crosses val="autoZero"/>
      </c:valAx>
      <c:catAx>
        <c:axId val="57537895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52437480"/>
        <c:crosses val="autoZero"/>
        <c:auto val="1"/>
        <c:lblAlgn val="ctr"/>
        <c:lblOffset val="100"/>
      </c:cat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Times New Roman"/>
                <a:ea typeface="Times New Roman"/>
              </a:rPr>
              <a:t>Логарифм в'язкості</a:t>
            </a:r>
          </a:p>
        </c:rich>
      </c:tx>
      <c:layout/>
    </c:title>
    <c:view3D>
      <c:rotX val="9"/>
      <c:rotY val="154"/>
      <c:rAngAx val="0"/>
      <c:perspective val="30"/>
    </c:view3D>
    <c:floor>
      <c:spPr>
        <a:solidFill>
          <a:srgbClr val="ffffff"/>
        </a:solidFill>
        <a:ln w="3240">
          <a:solidFill>
            <a:srgbClr val="000000"/>
          </a:solidFill>
          <a:round/>
        </a:ln>
      </c:spPr>
    </c:floor>
    <c:backWall>
      <c:spPr>
        <a:solidFill>
          <a:srgbClr val="ffffff"/>
        </a:solidFill>
        <a:ln w="12600">
          <a:solidFill>
            <a:srgbClr val="808080"/>
          </a:solidFill>
          <a:round/>
        </a:ln>
      </c:spPr>
    </c:backWall>
    <c:plotArea>
      <c:layout/>
      <c:area3DChart>
        <c:grouping val="standard"/>
        <c:ser>
          <c:idx val="0"/>
          <c:order val="0"/>
          <c:tx>
            <c:strRef>
              <c:f>'свойства расплава'!$D$5</c:f>
              <c:strCache>
                <c:ptCount val="1"/>
                <c:pt idx="0">
                  <c:v>1100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dLbl>
              <c:idx val="0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val>
            <c:numRef>
              <c:f>'свойства расплава'!$F$5,'свойства расплава'!$F$8,'свойства расплава'!$F$11,'свойства расплава'!$F$14,'свойства расплава'!$F$17</c:f>
              <c:numCache>
                <c:formatCode>General</c:formatCode>
                <c:ptCount val="5"/>
                <c:pt idx="0">
                  <c:v>3.8264332916657</c:v>
                </c:pt>
                <c:pt idx="1">
                  <c:v>3.87529179306792</c:v>
                </c:pt>
                <c:pt idx="2">
                  <c:v>3.92976542861239</c:v>
                </c:pt>
                <c:pt idx="3">
                  <c:v>3.95687563761058</c:v>
                </c:pt>
                <c:pt idx="4">
                  <c:v>3.95619836867657</c:v>
                </c:pt>
              </c:numCache>
            </c:numRef>
          </c:val>
        </c:ser>
        <c:ser>
          <c:idx val="1"/>
          <c:order val="1"/>
          <c:tx>
            <c:strRef>
              <c:f>'свойства расплава'!$D$9</c:f>
              <c:strCache>
                <c:ptCount val="1"/>
                <c:pt idx="0">
                  <c:v>1150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расплава'!$F$6,'свойства расплава'!$F$9,'свойства расплава'!$F$12,'свойства расплава'!$F$15,'свойства расплава'!$F$18</c:f>
              <c:numCache>
                <c:formatCode>General</c:formatCode>
                <c:ptCount val="5"/>
                <c:pt idx="0">
                  <c:v>3.63061176229081</c:v>
                </c:pt>
                <c:pt idx="1">
                  <c:v>3.64944761004045</c:v>
                </c:pt>
                <c:pt idx="2">
                  <c:v>3.70645758632152</c:v>
                </c:pt>
                <c:pt idx="3">
                  <c:v>3.72826579073766</c:v>
                </c:pt>
                <c:pt idx="4">
                  <c:v>3.7557922333135</c:v>
                </c:pt>
              </c:numCache>
            </c:numRef>
          </c:val>
        </c:ser>
        <c:ser>
          <c:idx val="2"/>
          <c:order val="2"/>
          <c:tx>
            <c:strRef>
              <c:f>'свойства расплава'!$D$10</c:f>
              <c:strCache>
                <c:ptCount val="1"/>
                <c:pt idx="0">
                  <c:v>1200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расплава'!$F$7,'свойства расплава'!$F$10,'свойства расплава'!$F$13,'свойства расплава'!$F$16,'свойства расплава'!$F$19</c:f>
              <c:numCache>
                <c:formatCode>General</c:formatCode>
                <c:ptCount val="5"/>
                <c:pt idx="0">
                  <c:v>3.42417435722778</c:v>
                </c:pt>
                <c:pt idx="1">
                  <c:v>3.43230439916334</c:v>
                </c:pt>
                <c:pt idx="2">
                  <c:v>3.4957034024787</c:v>
                </c:pt>
                <c:pt idx="3">
                  <c:v>3.51802704308385</c:v>
                </c:pt>
                <c:pt idx="4">
                  <c:v>3.56913047445987</c:v>
                </c:pt>
              </c:numCache>
            </c:numRef>
          </c:val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</c:ser>
        <c:axId val="86351649"/>
        <c:axId val="46179688"/>
        <c:axId val="57366322"/>
      </c:area3DChart>
      <c:catAx>
        <c:axId val="8635164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46179688"/>
        <c:crosses val="autoZero"/>
        <c:auto val="1"/>
        <c:lblAlgn val="ctr"/>
        <c:lblOffset val="100"/>
      </c:catAx>
      <c:valAx>
        <c:axId val="4617968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86351649"/>
        <c:crosses val="min"/>
      </c:valAx>
      <c:catAx>
        <c:axId val="5736632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46179688"/>
        <c:crosses val="autoZero"/>
        <c:auto val="1"/>
        <c:lblAlgn val="ctr"/>
        <c:lblOffset val="100"/>
      </c:cat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Times New Roman"/>
                <a:ea typeface="Times New Roman"/>
              </a:rPr>
              <a:t>Активність розплаву</a:t>
            </a:r>
          </a:p>
        </c:rich>
      </c:tx>
      <c:layout/>
    </c:title>
    <c:view3D>
      <c:rotX val="15"/>
      <c:rotY val="20"/>
      <c:rAngAx val="0"/>
      <c:perspective val="30"/>
    </c:view3D>
    <c:floor>
      <c:spPr>
        <a:solidFill>
          <a:srgbClr val="ffffff"/>
        </a:solidFill>
        <a:ln w="3240">
          <a:solidFill>
            <a:srgbClr val="000000"/>
          </a:solidFill>
          <a:round/>
        </a:ln>
      </c:spPr>
    </c:floor>
    <c:backWall>
      <c:spPr>
        <a:solidFill>
          <a:srgbClr val="ffffff"/>
        </a:solidFill>
        <a:ln w="12600">
          <a:solidFill>
            <a:srgbClr val="808080"/>
          </a:solidFill>
          <a:round/>
        </a:ln>
      </c:spPr>
    </c:backWall>
    <c:plotArea>
      <c:layout/>
      <c:area3DChart>
        <c:grouping val="standard"/>
        <c:ser>
          <c:idx val="0"/>
          <c:order val="0"/>
          <c:tx>
            <c:strRef>
              <c:f>'свойства расплава'!$D$5</c:f>
              <c:strCache>
                <c:ptCount val="1"/>
                <c:pt idx="0">
                  <c:v>1100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dLbl>
              <c:idx val="0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val>
            <c:numRef>
              <c:f>'свойства расплава'!$I$5,'свойства расплава'!$I$8,'свойства расплава'!$I$11,'свойства расплава'!$I$14,'свойства расплава'!$I$17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'свойства расплава'!$D$9</c:f>
              <c:strCache>
                <c:ptCount val="1"/>
                <c:pt idx="0">
                  <c:v>1150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расплава'!$I$6,'свойства расплава'!$I$9,'свойства расплава'!$I$12,'свойства расплава'!$I$15,'свойства расплава'!$I$18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'свойства расплава'!$D$10</c:f>
              <c:strCache>
                <c:ptCount val="1"/>
                <c:pt idx="0">
                  <c:v>1200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'свойства расплава'!$I$7,'свойства расплава'!$I$10,'свойства расплава'!$I$13,'свойства расплава'!$I$16,'свойства расплава'!$I$19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</c:ser>
        <c:axId val="94684160"/>
        <c:axId val="84215543"/>
        <c:axId val="90571089"/>
      </c:area3DChart>
      <c:catAx>
        <c:axId val="9468416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84215543"/>
        <c:crosses val="autoZero"/>
        <c:auto val="1"/>
        <c:lblAlgn val="ctr"/>
        <c:lblOffset val="100"/>
      </c:catAx>
      <c:valAx>
        <c:axId val="84215543"/>
        <c:scaling>
          <c:orientation val="minMax"/>
          <c:min val="0.06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4684160"/>
        <c:crosses val="autoZero"/>
      </c:valAx>
      <c:catAx>
        <c:axId val="9057108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84215543"/>
        <c:crosses val="autoZero"/>
        <c:auto val="1"/>
        <c:lblAlgn val="ctr"/>
        <c:lblOffset val="100"/>
      </c:cat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еще!$A$5</c:f>
              <c:strCache>
                <c:ptCount val="1"/>
                <c:pt idx="0">
                  <c:v>К3-К4</c:v>
                </c:pt>
              </c:strCache>
            </c:strRef>
          </c:tx>
          <c:spPr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еще!$G$7,еще!$I$7</c:f>
              <c:strCache>
                <c:ptCount val="2"/>
                <c:pt idx="0">
                  <c:v>Температура повного плавління</c:v>
                </c:pt>
                <c:pt idx="1">
                  <c:v>Температура початку утворення розплаву</c:v>
                </c:pt>
              </c:strCache>
            </c:strRef>
          </c:cat>
          <c:val>
            <c:numRef>
              <c:f>еще!$G$5,еще!$I$5</c:f>
              <c:numCache>
                <c:formatCode>General</c:formatCode>
                <c:ptCount val="2"/>
                <c:pt idx="0">
                  <c:v>1734.32</c:v>
                </c:pt>
                <c:pt idx="1">
                  <c:v>1134.4</c:v>
                </c:pt>
              </c:numCache>
            </c:numRef>
          </c:val>
        </c:ser>
        <c:ser>
          <c:idx val="1"/>
          <c:order val="1"/>
          <c:tx>
            <c:strRef>
              <c:f>еще!$A$6</c:f>
              <c:strCache>
                <c:ptCount val="1"/>
                <c:pt idx="0">
                  <c:v>Сh-9</c:v>
                </c:pt>
              </c:strCache>
            </c:strRef>
          </c:tx>
          <c:spPr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еще!$G$7,еще!$I$7</c:f>
              <c:strCache>
                <c:ptCount val="2"/>
                <c:pt idx="0">
                  <c:v>Температура повного плавління</c:v>
                </c:pt>
                <c:pt idx="1">
                  <c:v>Температура початку утворення розплаву</c:v>
                </c:pt>
              </c:strCache>
            </c:strRef>
          </c:cat>
          <c:val>
            <c:numRef>
              <c:f>еще!$G$6,еще!$I$6</c:f>
              <c:numCache>
                <c:formatCode>General</c:formatCode>
                <c:ptCount val="2"/>
                <c:pt idx="0">
                  <c:v>1624</c:v>
                </c:pt>
                <c:pt idx="1">
                  <c:v>1024</c:v>
                </c:pt>
              </c:numCache>
            </c:numRef>
          </c:val>
        </c:ser>
        <c:gapWidth val="150"/>
        <c:overlap val="0"/>
        <c:axId val="89112303"/>
        <c:axId val="68107191"/>
      </c:barChart>
      <c:catAx>
        <c:axId val="89112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107191"/>
        <c:crosses val="autoZero"/>
        <c:auto val="1"/>
        <c:lblAlgn val="ctr"/>
        <c:lblOffset val="100"/>
      </c:catAx>
      <c:valAx>
        <c:axId val="681071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000000"/>
                    </a:solidFill>
                    <a:latin typeface="Calibri"/>
                  </a:rPr>
                  <a:t>Температура,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1123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625">
                <a:solidFill>
                  <a:srgbClr val="000000"/>
                </a:solidFill>
                <a:latin typeface="Arial Cyr"/>
                <a:ea typeface="Arial Cyr"/>
              </a:rPr>
              <a:t>Кількість розплаву</a:t>
            </a:r>
          </a:p>
        </c:rich>
      </c:tx>
      <c:layout/>
    </c:title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"Кількість розплаву"</c:f>
              <c:strCache>
                <c:ptCount val="1"/>
                <c:pt idx="0">
                  <c:v>Кількість розплаву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dLbl>
              <c:idx val="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pPr>
                <a:ln w="25560">
                  <a:solidFill>
                    <a:srgbClr val="-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</c:dLbl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диаграммка!$W$32:$X$46</c:f>
              <c:strCache>
                <c:ptCount val="30"/>
                <c:pt idx="0">
                  <c:v>ПМШ</c:v>
                </c:pt>
                <c:pt idx="1">
                  <c:v/>
                </c:pt>
                <c:pt idx="2">
                  <c:v/>
                </c:pt>
                <c:pt idx="3">
                  <c:v>КПМШ</c:v>
                </c:pt>
                <c:pt idx="4">
                  <c:v/>
                </c:pt>
                <c:pt idx="5">
                  <c:v/>
                </c:pt>
                <c:pt idx="6">
                  <c:v>Відходи (пил)</c:v>
                </c:pt>
                <c:pt idx="7">
                  <c:v/>
                </c:pt>
                <c:pt idx="8">
                  <c:v/>
                </c:pt>
                <c:pt idx="9">
                  <c:v>Пегматит незбагачений</c:v>
                </c:pt>
                <c:pt idx="10">
                  <c:v/>
                </c:pt>
                <c:pt idx="11">
                  <c:v/>
                </c:pt>
                <c:pt idx="12">
                  <c:v>Кварцовий продукт</c:v>
                </c:pt>
                <c:pt idx="13">
                  <c:v/>
                </c:pt>
                <c:pt idx="14">
                  <c:v/>
                </c:pt>
                <c:pt idx="15">
                  <c:v>1100</c:v>
                </c:pt>
                <c:pt idx="16">
                  <c:v>1150</c:v>
                </c:pt>
                <c:pt idx="17">
                  <c:v>1200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1100</c:v>
                </c:pt>
                <c:pt idx="28">
                  <c:v>1150</c:v>
                </c:pt>
                <c:pt idx="29">
                  <c:v>1200</c:v>
                </c:pt>
              </c:strCache>
            </c:strRef>
          </c:cat>
          <c:val>
            <c:numRef>
              <c:f>диаграммка!$Y$32:$Y$46</c:f>
              <c:numCache>
                <c:formatCode>General</c:formatCode>
                <c:ptCount val="15"/>
                <c:pt idx="0">
                  <c:v>77.5600000000004</c:v>
                </c:pt>
                <c:pt idx="1">
                  <c:v>90.4800000000001</c:v>
                </c:pt>
                <c:pt idx="2">
                  <c:v>95.4440000000001</c:v>
                </c:pt>
                <c:pt idx="3">
                  <c:v>95.4120000000001</c:v>
                </c:pt>
                <c:pt idx="4">
                  <c:v>96.156</c:v>
                </c:pt>
                <c:pt idx="5">
                  <c:v>96.28</c:v>
                </c:pt>
                <c:pt idx="6">
                  <c:v>97.65</c:v>
                </c:pt>
                <c:pt idx="7">
                  <c:v>98.05</c:v>
                </c:pt>
                <c:pt idx="8">
                  <c:v>98.5</c:v>
                </c:pt>
                <c:pt idx="9">
                  <c:v>98.233</c:v>
                </c:pt>
                <c:pt idx="10">
                  <c:v>98.347</c:v>
                </c:pt>
                <c:pt idx="11">
                  <c:v>98.86</c:v>
                </c:pt>
                <c:pt idx="12">
                  <c:v>72.72</c:v>
                </c:pt>
                <c:pt idx="13">
                  <c:v>78.7</c:v>
                </c:pt>
                <c:pt idx="14">
                  <c:v>85.64</c:v>
                </c:pt>
              </c:numCache>
            </c:numRef>
          </c:val>
        </c:ser>
        <c:gapWidth val="150"/>
        <c:shape val="box"/>
        <c:axId val="20556867"/>
        <c:axId val="81221818"/>
        <c:axId val="0"/>
      </c:bar3DChart>
      <c:catAx>
        <c:axId val="20556867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crossAx val="81221818"/>
        <c:crosses val="autoZero"/>
        <c:auto val="1"/>
        <c:lblAlgn val="ctr"/>
        <c:lblOffset val="100"/>
      </c:catAx>
      <c:valAx>
        <c:axId val="812218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0556867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Arial Cyr"/>
                <a:ea typeface="Arial Cyr"/>
              </a:rPr>
              <a:t>Кількість розплаву при 1100 ОС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диаграммка!$W$32</c:f>
              <c:strCache>
                <c:ptCount val="1"/>
                <c:pt idx="0">
                  <c:v>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диаграммка!$Y$32</c:f>
              <c:numCache>
                <c:formatCode>General</c:formatCode>
                <c:ptCount val="1"/>
                <c:pt idx="0">
                  <c:v>77.5600000000004</c:v>
                </c:pt>
              </c:numCache>
            </c:numRef>
          </c:val>
        </c:ser>
        <c:ser>
          <c:idx val="1"/>
          <c:order val="1"/>
          <c:tx>
            <c:strRef>
              <c:f>диаграммка!$W$35</c:f>
              <c:strCache>
                <c:ptCount val="1"/>
                <c:pt idx="0">
                  <c:v>КПМШ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диаграммка!$Y$35</c:f>
              <c:numCache>
                <c:formatCode>General</c:formatCode>
                <c:ptCount val="1"/>
                <c:pt idx="0">
                  <c:v>95.4120000000001</c:v>
                </c:pt>
              </c:numCache>
            </c:numRef>
          </c:val>
        </c:ser>
        <c:ser>
          <c:idx val="2"/>
          <c:order val="2"/>
          <c:tx>
            <c:strRef>
              <c:f>диаграммка!$W$38</c:f>
              <c:strCache>
                <c:ptCount val="1"/>
                <c:pt idx="0">
                  <c:v>Відходи (пил)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диаграммка!$Y$38</c:f>
              <c:numCache>
                <c:formatCode>General</c:formatCode>
                <c:ptCount val="1"/>
                <c:pt idx="0">
                  <c:v>97.65</c:v>
                </c:pt>
              </c:numCache>
            </c:numRef>
          </c:val>
        </c:ser>
        <c:ser>
          <c:idx val="3"/>
          <c:order val="3"/>
          <c:tx>
            <c:strRef>
              <c:f>диаграммка!$W$41</c:f>
              <c:strCache>
                <c:ptCount val="1"/>
                <c:pt idx="0">
                  <c:v>Пегматит незбагачений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диаграммка!$Y$41</c:f>
              <c:numCache>
                <c:formatCode>General</c:formatCode>
                <c:ptCount val="1"/>
                <c:pt idx="0">
                  <c:v>98.233</c:v>
                </c:pt>
              </c:numCache>
            </c:numRef>
          </c:val>
        </c:ser>
        <c:ser>
          <c:idx val="4"/>
          <c:order val="4"/>
          <c:tx>
            <c:strRef>
              <c:f>диаграммка!$W$44</c:f>
              <c:strCache>
                <c:ptCount val="1"/>
                <c:pt idx="0">
                  <c:v>Кварцовий продукт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диаграммка!$Y$44</c:f>
              <c:numCache>
                <c:formatCode>General</c:formatCode>
                <c:ptCount val="1"/>
                <c:pt idx="0">
                  <c:v>72.72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36256638"/>
        <c:axId val="85845827"/>
      </c:barChart>
      <c:catAx>
        <c:axId val="36256638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85845827"/>
        <c:crosses val="autoZero"/>
        <c:auto val="1"/>
        <c:lblAlgn val="ctr"/>
        <c:lblOffset val="100"/>
      </c:catAx>
      <c:valAx>
        <c:axId val="85845827"/>
        <c:scaling>
          <c:orientation val="minMax"/>
          <c:max val="10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6256638"/>
        <c:crosses val="autoZero"/>
      </c:valAx>
      <c:spPr>
        <a:noFill/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Розрахований склад  продуктів термообробки  кварц-пірофілітової сировини</a:t>
            </a:r>
          </a:p>
        </c:rich>
      </c:tx>
      <c:layout/>
    </c:title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Курьяновский!$C$42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Курьяновский!$C$43:$C$48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Курьяновский!$D$42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Курьяновский!$D$43:$D$48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Курьяновский!$E$42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Курьяновский!$E$43:$E$48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Курьяновский!$F$42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Курьяновский!$F$43:$F$48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Курьяновский!$G$42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Курьяновский!$G$43:$G$48</c:f>
              <c:numCache>
                <c:formatCode>General</c:formatCode>
                <c:ptCount val="6"/>
                <c:pt idx="0">
                  <c:v>23</c:v>
                </c:pt>
                <c:pt idx="1">
                  <c:v>22.6</c:v>
                </c:pt>
                <c:pt idx="2">
                  <c:v>22.2</c:v>
                </c:pt>
                <c:pt idx="3">
                  <c:v>22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</c:ser>
        <c:ser>
          <c:idx val="5"/>
          <c:order val="5"/>
          <c:tx>
            <c:strRef>
              <c:f>Курьяновский!$H$42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Курьяновский!$H$43:$H$48</c:f>
              <c:numCache>
                <c:formatCode>General</c:formatCode>
                <c:ptCount val="6"/>
                <c:pt idx="0">
                  <c:v>8.82051282051282</c:v>
                </c:pt>
                <c:pt idx="1">
                  <c:v>4.82051282051282</c:v>
                </c:pt>
                <c:pt idx="2">
                  <c:v>2.75457875457875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Курьяновский!$I$42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Курьяновский!$I$43:$I$48</c:f>
              <c:numCache>
                <c:formatCode>General</c:formatCode>
                <c:ptCount val="6"/>
                <c:pt idx="0">
                  <c:v>68.1794871794872</c:v>
                </c:pt>
                <c:pt idx="1">
                  <c:v>72.5794871794872</c:v>
                </c:pt>
                <c:pt idx="2">
                  <c:v>75.0454212454212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</c:numCache>
            </c:numRef>
          </c:val>
        </c:ser>
        <c:gapWidth val="75"/>
        <c:shape val="box"/>
        <c:axId val="2250102"/>
        <c:axId val="73771901"/>
        <c:axId val="0"/>
      </c:bar3DChart>
      <c:catAx>
        <c:axId val="2250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771901"/>
        <c:crosses val="autoZero"/>
        <c:auto val="1"/>
        <c:lblAlgn val="ctr"/>
        <c:lblOffset val="100"/>
      </c:catAx>
      <c:valAx>
        <c:axId val="73771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250102"/>
        <c:crosses val="autoZero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Arial Cyr"/>
                <a:ea typeface="Arial Cyr"/>
              </a:rPr>
              <a:t>Кількість розплаву при 1150 ОС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диаграммка!$W$32</c:f>
              <c:strCache>
                <c:ptCount val="1"/>
                <c:pt idx="0">
                  <c:v>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диаграммка!$Y$33</c:f>
              <c:numCache>
                <c:formatCode>General</c:formatCode>
                <c:ptCount val="1"/>
                <c:pt idx="0">
                  <c:v>90.4800000000001</c:v>
                </c:pt>
              </c:numCache>
            </c:numRef>
          </c:val>
        </c:ser>
        <c:ser>
          <c:idx val="1"/>
          <c:order val="1"/>
          <c:tx>
            <c:strRef>
              <c:f>диаграммка!$W$35</c:f>
              <c:strCache>
                <c:ptCount val="1"/>
                <c:pt idx="0">
                  <c:v>КПМШ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диаграммка!$Y$36</c:f>
              <c:numCache>
                <c:formatCode>General</c:formatCode>
                <c:ptCount val="1"/>
                <c:pt idx="0">
                  <c:v>96.156</c:v>
                </c:pt>
              </c:numCache>
            </c:numRef>
          </c:val>
        </c:ser>
        <c:ser>
          <c:idx val="2"/>
          <c:order val="2"/>
          <c:tx>
            <c:strRef>
              <c:f>диаграммка!$W$38</c:f>
              <c:strCache>
                <c:ptCount val="1"/>
                <c:pt idx="0">
                  <c:v>Відходи (пил)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диаграммка!$Y$39</c:f>
              <c:numCache>
                <c:formatCode>General</c:formatCode>
                <c:ptCount val="1"/>
                <c:pt idx="0">
                  <c:v>98.05</c:v>
                </c:pt>
              </c:numCache>
            </c:numRef>
          </c:val>
        </c:ser>
        <c:ser>
          <c:idx val="3"/>
          <c:order val="3"/>
          <c:tx>
            <c:strRef>
              <c:f>диаграммка!$W$41</c:f>
              <c:strCache>
                <c:ptCount val="1"/>
                <c:pt idx="0">
                  <c:v>Пегматит незбагачений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диаграммка!$Y$42</c:f>
              <c:numCache>
                <c:formatCode>General</c:formatCode>
                <c:ptCount val="1"/>
                <c:pt idx="0">
                  <c:v>98.347</c:v>
                </c:pt>
              </c:numCache>
            </c:numRef>
          </c:val>
        </c:ser>
        <c:ser>
          <c:idx val="4"/>
          <c:order val="4"/>
          <c:tx>
            <c:strRef>
              <c:f>диаграммка!$W$44</c:f>
              <c:strCache>
                <c:ptCount val="1"/>
                <c:pt idx="0">
                  <c:v>Кварцовий продукт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диаграммка!$Y$45</c:f>
              <c:numCache>
                <c:formatCode>General</c:formatCode>
                <c:ptCount val="1"/>
                <c:pt idx="0">
                  <c:v>78.7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39285189"/>
        <c:axId val="96253595"/>
      </c:barChart>
      <c:catAx>
        <c:axId val="39285189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96253595"/>
        <c:crosses val="autoZero"/>
        <c:auto val="1"/>
        <c:lblAlgn val="ctr"/>
        <c:lblOffset val="100"/>
      </c:catAx>
      <c:valAx>
        <c:axId val="9625359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9285189"/>
        <c:crosses val="autoZero"/>
      </c:valAx>
      <c:spPr>
        <a:noFill/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Arial Cyr"/>
                <a:ea typeface="Arial Cyr"/>
              </a:rPr>
              <a:t>Кількість розплаву при 1200 ОС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диаграммка!$W$32</c:f>
              <c:strCache>
                <c:ptCount val="1"/>
                <c:pt idx="0">
                  <c:v>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диаграммка!$Y$34</c:f>
              <c:numCache>
                <c:formatCode>General</c:formatCode>
                <c:ptCount val="1"/>
                <c:pt idx="0">
                  <c:v>95.4440000000001</c:v>
                </c:pt>
              </c:numCache>
            </c:numRef>
          </c:val>
        </c:ser>
        <c:ser>
          <c:idx val="1"/>
          <c:order val="1"/>
          <c:tx>
            <c:strRef>
              <c:f>диаграммка!$W$35</c:f>
              <c:strCache>
                <c:ptCount val="1"/>
                <c:pt idx="0">
                  <c:v>КПМШ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диаграммка!$Y$37</c:f>
              <c:numCache>
                <c:formatCode>General</c:formatCode>
                <c:ptCount val="1"/>
                <c:pt idx="0">
                  <c:v>96.28</c:v>
                </c:pt>
              </c:numCache>
            </c:numRef>
          </c:val>
        </c:ser>
        <c:ser>
          <c:idx val="2"/>
          <c:order val="2"/>
          <c:tx>
            <c:strRef>
              <c:f>диаграммка!$W$38</c:f>
              <c:strCache>
                <c:ptCount val="1"/>
                <c:pt idx="0">
                  <c:v>Відходи (пил)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диаграммка!$Y$40</c:f>
              <c:numCache>
                <c:formatCode>General</c:formatCode>
                <c:ptCount val="1"/>
                <c:pt idx="0">
                  <c:v>98.5</c:v>
                </c:pt>
              </c:numCache>
            </c:numRef>
          </c:val>
        </c:ser>
        <c:ser>
          <c:idx val="3"/>
          <c:order val="3"/>
          <c:tx>
            <c:strRef>
              <c:f>диаграммка!$W$41</c:f>
              <c:strCache>
                <c:ptCount val="1"/>
                <c:pt idx="0">
                  <c:v>Пегматит незбагачений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диаграммка!$Y$43</c:f>
              <c:numCache>
                <c:formatCode>General</c:formatCode>
                <c:ptCount val="1"/>
                <c:pt idx="0">
                  <c:v>98.86</c:v>
                </c:pt>
              </c:numCache>
            </c:numRef>
          </c:val>
        </c:ser>
        <c:ser>
          <c:idx val="4"/>
          <c:order val="4"/>
          <c:tx>
            <c:strRef>
              <c:f>диаграммка!$W$44</c:f>
              <c:strCache>
                <c:ptCount val="1"/>
                <c:pt idx="0">
                  <c:v>Кварцовий продукт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val>
            <c:numRef>
              <c:f>диаграммка!$Y$46</c:f>
              <c:numCache>
                <c:formatCode>General</c:formatCode>
                <c:ptCount val="1"/>
                <c:pt idx="0">
                  <c:v>85.64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96301133"/>
        <c:axId val="87669163"/>
      </c:barChart>
      <c:catAx>
        <c:axId val="96301133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87669163"/>
        <c:crosses val="autoZero"/>
        <c:auto val="1"/>
        <c:lblAlgn val="ctr"/>
        <c:lblOffset val="100"/>
      </c:catAx>
      <c:valAx>
        <c:axId val="87669163"/>
        <c:scaling>
          <c:orientation val="minMax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6301133"/>
        <c:crosses val="autoZero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ffffff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Курьяновский!$AD$27:$AD$32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Курьяновский!$AF$27:$AF$32</c:f>
              <c:numCache>
                <c:formatCode>General</c:formatCode>
                <c:ptCount val="6"/>
                <c:pt idx="0">
                  <c:v>67.3094871794874</c:v>
                </c:pt>
                <c:pt idx="1">
                  <c:v>71.7094871794874</c:v>
                </c:pt>
                <c:pt idx="2">
                  <c:v>74.1754212454215</c:v>
                </c:pt>
                <c:pt idx="3">
                  <c:v>77.1300000000002</c:v>
                </c:pt>
                <c:pt idx="4">
                  <c:v>80.1300000000002</c:v>
                </c:pt>
                <c:pt idx="5">
                  <c:v>82.1300000000002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Курьяновский!$AD$27:$AD$32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Курьяновский!$AE$27:$AE$32</c:f>
              <c:numCache>
                <c:formatCode>General</c:formatCode>
                <c:ptCount val="6"/>
                <c:pt idx="0">
                  <c:v>12.4316778523503</c:v>
                </c:pt>
                <c:pt idx="1">
                  <c:v>33.1040268456385</c:v>
                </c:pt>
                <c:pt idx="2">
                  <c:v>35.1006711409405</c:v>
                </c:pt>
                <c:pt idx="3">
                  <c:v>37.1040268456385</c:v>
                </c:pt>
                <c:pt idx="4">
                  <c:v>38.8523489932894</c:v>
                </c:pt>
                <c:pt idx="5">
                  <c:v>49.828859060403</c:v>
                </c:pt>
              </c:numCache>
            </c:numRef>
          </c:val>
        </c:ser>
        <c:gapWidth val="150"/>
        <c:overlap val="0"/>
        <c:axId val="88801109"/>
        <c:axId val="11930866"/>
      </c:barChart>
      <c:catAx>
        <c:axId val="888011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0866"/>
        <c:crosses val="autoZero"/>
        <c:auto val="1"/>
        <c:lblAlgn val="ctr"/>
        <c:lblOffset val="100"/>
      </c:catAx>
      <c:valAx>
        <c:axId val="11930866"/>
        <c:scaling>
          <c:orientation val="minMax"/>
          <c:max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0110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solidFill>
                  <a:srgbClr val="000000"/>
                </a:solidFill>
                <a:latin typeface="Times New Roman"/>
              </a:rPr>
              <a:t>Плагиоклаз-серицитовая порода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Курьяновский!$C$34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diamond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Курьяновский!$C$35:$C$40</c:f>
              <c:numCache>
                <c:formatCode>General</c:formatCode>
                <c:ptCount val="6"/>
                <c:pt idx="0">
                  <c:v>3.51463087248322</c:v>
                </c:pt>
                <c:pt idx="1">
                  <c:v>3.22147651006711</c:v>
                </c:pt>
                <c:pt idx="2">
                  <c:v>2.81879194630873</c:v>
                </c:pt>
                <c:pt idx="3">
                  <c:v>2.57718120805369</c:v>
                </c:pt>
                <c:pt idx="4">
                  <c:v>2.25503355704698</c:v>
                </c:pt>
                <c:pt idx="5">
                  <c:v>22.9060402684564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Курьяновский!$D$34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10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Курьяновский!$D$35:$D$40</c:f>
              <c:numCache>
                <c:formatCode>General</c:formatCode>
                <c:ptCount val="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Курьяновский!$E$34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circle"/>
            <c:size val="9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Курьяновский!$E$35:$E$40</c:f>
              <c:numCache>
                <c:formatCode>General</c:formatCode>
                <c:ptCount val="6"/>
                <c:pt idx="0">
                  <c:v>38.2130872483221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Курьяновский!$F$34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x"/>
            <c:size val="12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Курьяновский!$F$35:$F$40</c:f>
              <c:numCache>
                <c:formatCode>General</c:formatCode>
                <c:ptCount val="6"/>
                <c:pt idx="0">
                  <c:v>10.251677852349</c:v>
                </c:pt>
                <c:pt idx="1">
                  <c:v>30.0335570469799</c:v>
                </c:pt>
                <c:pt idx="2">
                  <c:v>28.5234899328859</c:v>
                </c:pt>
                <c:pt idx="3">
                  <c:v>27.2651006711409</c:v>
                </c:pt>
                <c:pt idx="4">
                  <c:v>26.006711409396</c:v>
                </c:pt>
                <c:pt idx="5">
                  <c:v>6.29194630872483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Курьяновский!$G$34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triangle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Курьяновский!$G$35:$G$40</c:f>
              <c:numCache>
                <c:formatCode>General</c:formatCode>
                <c:ptCount val="6"/>
                <c:pt idx="0">
                  <c:v>35.4278523489933</c:v>
                </c:pt>
                <c:pt idx="1">
                  <c:v>33.6409395973154</c:v>
                </c:pt>
                <c:pt idx="2">
                  <c:v>33.5570469798658</c:v>
                </c:pt>
                <c:pt idx="3">
                  <c:v>33.0536912751678</c:v>
                </c:pt>
                <c:pt idx="4">
                  <c:v>32.8859060402685</c:v>
                </c:pt>
                <c:pt idx="5">
                  <c:v>20.9731543624161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Курьяновский!$I$34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Курьяновский!$I$35:$I$40</c:f>
              <c:numCache>
                <c:formatCode>General</c:formatCode>
                <c:ptCount val="6"/>
                <c:pt idx="0">
                  <c:v>12.4327516778524</c:v>
                </c:pt>
                <c:pt idx="1">
                  <c:v>33.1040268456376</c:v>
                </c:pt>
                <c:pt idx="2">
                  <c:v>35.1006711409396</c:v>
                </c:pt>
                <c:pt idx="3">
                  <c:v>37.1040268456376</c:v>
                </c:pt>
                <c:pt idx="4">
                  <c:v>38.8523489932886</c:v>
                </c:pt>
                <c:pt idx="5">
                  <c:v>49.8288590604027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0556943"/>
        <c:axId val="19462184"/>
      </c:lineChart>
      <c:catAx>
        <c:axId val="3055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62184"/>
        <c:crosses val="autoZero"/>
        <c:auto val="1"/>
        <c:lblAlgn val="ctr"/>
        <c:lblOffset val="100"/>
      </c:catAx>
      <c:valAx>
        <c:axId val="19462184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556943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Times New Roman"/>
              </a:rPr>
              <a:t>Плагиоклаз-серицитовая порода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Курьяновский!$C$34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diamond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Курьяновский!$C$35:$C$40</c:f>
              <c:numCache>
                <c:formatCode>General</c:formatCode>
                <c:ptCount val="6"/>
                <c:pt idx="0">
                  <c:v>3.51463087248322</c:v>
                </c:pt>
                <c:pt idx="1">
                  <c:v>3.22147651006711</c:v>
                </c:pt>
                <c:pt idx="2">
                  <c:v>2.81879194630873</c:v>
                </c:pt>
                <c:pt idx="3">
                  <c:v>2.57718120805369</c:v>
                </c:pt>
                <c:pt idx="4">
                  <c:v>2.25503355704698</c:v>
                </c:pt>
                <c:pt idx="5">
                  <c:v>22.9060402684564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Курьяновский!$D$34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10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Курьяновский!$D$35:$D$40</c:f>
              <c:numCache>
                <c:formatCode>General</c:formatCode>
                <c:ptCount val="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Курьяновский!$E$34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13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Курьяновский!$E$35:$E$40</c:f>
              <c:numCache>
                <c:formatCode>General</c:formatCode>
                <c:ptCount val="6"/>
                <c:pt idx="0">
                  <c:v>38.2130872483221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Курьяновский!$F$34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x"/>
            <c:size val="12"/>
            <c:spPr>
              <a:solidFill>
                <a:srgbClr val="ff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Курьяновский!$F$35:$F$40</c:f>
              <c:numCache>
                <c:formatCode>General</c:formatCode>
                <c:ptCount val="6"/>
                <c:pt idx="0">
                  <c:v>10.251677852349</c:v>
                </c:pt>
                <c:pt idx="1">
                  <c:v>30.0335570469799</c:v>
                </c:pt>
                <c:pt idx="2">
                  <c:v>28.5234899328859</c:v>
                </c:pt>
                <c:pt idx="3">
                  <c:v>27.2651006711409</c:v>
                </c:pt>
                <c:pt idx="4">
                  <c:v>26.006711409396</c:v>
                </c:pt>
                <c:pt idx="5">
                  <c:v>6.29194630872483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Курьяновский!$G$34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triangle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Курьяновский!$G$35:$G$40</c:f>
              <c:numCache>
                <c:formatCode>General</c:formatCode>
                <c:ptCount val="6"/>
                <c:pt idx="0">
                  <c:v>35.4278523489933</c:v>
                </c:pt>
                <c:pt idx="1">
                  <c:v>33.6409395973154</c:v>
                </c:pt>
                <c:pt idx="2">
                  <c:v>33.5570469798658</c:v>
                </c:pt>
                <c:pt idx="3">
                  <c:v>33.0536912751678</c:v>
                </c:pt>
                <c:pt idx="4">
                  <c:v>32.8859060402685</c:v>
                </c:pt>
                <c:pt idx="5">
                  <c:v>20.9731543624161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Курьяновский!$I$34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Курьяновский!$I$35:$I$40</c:f>
              <c:numCache>
                <c:formatCode>General</c:formatCode>
                <c:ptCount val="6"/>
                <c:pt idx="0">
                  <c:v>12.4327516778524</c:v>
                </c:pt>
                <c:pt idx="1">
                  <c:v>33.1040268456376</c:v>
                </c:pt>
                <c:pt idx="2">
                  <c:v>35.1006711409396</c:v>
                </c:pt>
                <c:pt idx="3">
                  <c:v>37.1040268456376</c:v>
                </c:pt>
                <c:pt idx="4">
                  <c:v>38.8523489932886</c:v>
                </c:pt>
                <c:pt idx="5">
                  <c:v>49.8288590604027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3988396"/>
        <c:axId val="78282129"/>
      </c:lineChart>
      <c:catAx>
        <c:axId val="3398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300"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282129"/>
        <c:crosses val="autoZero"/>
        <c:auto val="1"/>
        <c:lblAlgn val="ctr"/>
        <c:lblOffset val="100"/>
      </c:catAx>
      <c:valAx>
        <c:axId val="78282129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9883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Курьяновский!$G$42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31859c"/>
            </a:solidFill>
            <a:ln w="28440">
              <a:solidFill>
                <a:srgbClr val="31859c"/>
              </a:solidFill>
              <a:round/>
            </a:ln>
          </c:spPr>
          <c:marker>
            <c:symbol val="triangle"/>
            <c:size val="12"/>
            <c:spPr>
              <a:solidFill>
                <a:srgbClr val="31859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Курьяновский!$G$43:$G$48</c:f>
              <c:numCache>
                <c:formatCode>General</c:formatCode>
                <c:ptCount val="6"/>
                <c:pt idx="0">
                  <c:v>23</c:v>
                </c:pt>
                <c:pt idx="1">
                  <c:v>22.6</c:v>
                </c:pt>
                <c:pt idx="2">
                  <c:v>22.2</c:v>
                </c:pt>
                <c:pt idx="3">
                  <c:v>22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Курьяновский!$H$42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9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Курьяновский!$H$43:$H$48</c:f>
              <c:numCache>
                <c:formatCode>General</c:formatCode>
                <c:ptCount val="6"/>
                <c:pt idx="0">
                  <c:v>8.82051282051282</c:v>
                </c:pt>
                <c:pt idx="1">
                  <c:v>4.82051282051282</c:v>
                </c:pt>
                <c:pt idx="2">
                  <c:v>2.75457875457875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Курьяновский!$I$42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circle"/>
            <c:size val="10"/>
            <c:spPr>
              <a:solidFill>
                <a:srgbClr val="e46c0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Курьяновский!$I$43:$I$48</c:f>
              <c:numCache>
                <c:formatCode>General</c:formatCode>
                <c:ptCount val="6"/>
                <c:pt idx="0">
                  <c:v>68.1794871794872</c:v>
                </c:pt>
                <c:pt idx="1">
                  <c:v>72.5794871794872</c:v>
                </c:pt>
                <c:pt idx="2">
                  <c:v>75.0454212454212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7543656"/>
        <c:axId val="93418514"/>
      </c:lineChart>
      <c:catAx>
        <c:axId val="1754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418514"/>
        <c:crosses val="autoZero"/>
        <c:auto val="1"/>
        <c:lblAlgn val="ctr"/>
        <c:lblOffset val="100"/>
      </c:catAx>
      <c:valAx>
        <c:axId val="93418514"/>
        <c:scaling>
          <c:orientation val="minMax"/>
          <c:max val="9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543656"/>
        <c:crosses val="autoZero"/>
        <c:majorUnit val="10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solidFill>
                  <a:srgbClr val="000000"/>
                </a:solidFill>
                <a:latin typeface="Times New Roman"/>
              </a:rPr>
              <a:t>Кварц-пирофиллитовая порода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Курьяновский!$G$42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31859c"/>
            </a:solidFill>
            <a:ln w="28440">
              <a:solidFill>
                <a:srgbClr val="31859c"/>
              </a:solidFill>
              <a:round/>
            </a:ln>
          </c:spPr>
          <c:marker>
            <c:symbol val="triangle"/>
            <c:size val="12"/>
            <c:spPr>
              <a:solidFill>
                <a:srgbClr val="31859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Курьяновский!$G$43:$G$48</c:f>
              <c:numCache>
                <c:formatCode>General</c:formatCode>
                <c:ptCount val="6"/>
                <c:pt idx="0">
                  <c:v>23</c:v>
                </c:pt>
                <c:pt idx="1">
                  <c:v>22.6</c:v>
                </c:pt>
                <c:pt idx="2">
                  <c:v>22.2</c:v>
                </c:pt>
                <c:pt idx="3">
                  <c:v>22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Курьяновский!$H$42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9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Курьяновский!$H$43:$H$48</c:f>
              <c:numCache>
                <c:formatCode>General</c:formatCode>
                <c:ptCount val="6"/>
                <c:pt idx="0">
                  <c:v>8.82051282051282</c:v>
                </c:pt>
                <c:pt idx="1">
                  <c:v>4.82051282051282</c:v>
                </c:pt>
                <c:pt idx="2">
                  <c:v>2.75457875457875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Курьяновский!$I$42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circle"/>
            <c:size val="10"/>
            <c:spPr>
              <a:solidFill>
                <a:srgbClr val="e46c0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Курьяновский!$B$43:$B$48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Курьяновский!$I$43:$I$48</c:f>
              <c:numCache>
                <c:formatCode>General</c:formatCode>
                <c:ptCount val="6"/>
                <c:pt idx="0">
                  <c:v>68.1794871794872</c:v>
                </c:pt>
                <c:pt idx="1">
                  <c:v>72.5794871794872</c:v>
                </c:pt>
                <c:pt idx="2">
                  <c:v>75.0454212454212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0368845"/>
        <c:axId val="54937629"/>
      </c:lineChart>
      <c:catAx>
        <c:axId val="50368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Температура ,  °С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937629"/>
        <c:crosses val="autoZero"/>
        <c:auto val="1"/>
        <c:lblAlgn val="ctr"/>
        <c:lblOffset val="100"/>
      </c:catAx>
      <c:valAx>
        <c:axId val="54937629"/>
        <c:scaling>
          <c:orientation val="minMax"/>
          <c:max val="70"/>
          <c:min val="1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  <a:latin typeface="Times New Roman"/>
                  </a:rPr>
                  <a:t>Содержание фазы,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368845"/>
        <c:crosses val="autoZero"/>
        <c:majorUnit val="5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Розрахований склад  продуктів термообробки  плагіоклаз-серицитової сировини</a:t>
            </a:r>
          </a:p>
        </c:rich>
      </c:tx>
      <c:layout/>
    </c:title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'Ч9 и серицит'!$C$34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серицит'!$C$35:$C$40</c:f>
              <c:numCache>
                <c:formatCode>General</c:formatCode>
                <c:ptCount val="6"/>
                <c:pt idx="0">
                  <c:v>3.51463087248322</c:v>
                </c:pt>
                <c:pt idx="1">
                  <c:v>3.22147651006711</c:v>
                </c:pt>
                <c:pt idx="2">
                  <c:v>2.81879194630873</c:v>
                </c:pt>
                <c:pt idx="3">
                  <c:v>2.57718120805369</c:v>
                </c:pt>
                <c:pt idx="4">
                  <c:v>2.25503355704698</c:v>
                </c:pt>
                <c:pt idx="5">
                  <c:v>22.9060402684564</c:v>
                </c:pt>
              </c:numCache>
            </c:numRef>
          </c:val>
        </c:ser>
        <c:ser>
          <c:idx val="1"/>
          <c:order val="1"/>
          <c:tx>
            <c:strRef>
              <c:f>'Ч9 и серицит'!$D$34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серицит'!$D$35:$D$40</c:f>
              <c:numCache>
                <c:formatCode>General</c:formatCode>
                <c:ptCount val="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'Ч9 и серицит'!$E$34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серицит'!$E$35:$E$40</c:f>
              <c:numCache>
                <c:formatCode>General</c:formatCode>
                <c:ptCount val="6"/>
                <c:pt idx="0">
                  <c:v>38.2130872483221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'Ч9 и серицит'!$F$34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серицит'!$F$35:$F$40</c:f>
              <c:numCache>
                <c:formatCode>General</c:formatCode>
                <c:ptCount val="6"/>
                <c:pt idx="0">
                  <c:v>10.251677852349</c:v>
                </c:pt>
                <c:pt idx="1">
                  <c:v>30.0335570469799</c:v>
                </c:pt>
                <c:pt idx="2">
                  <c:v>28.5234899328859</c:v>
                </c:pt>
                <c:pt idx="3">
                  <c:v>27.2651006711409</c:v>
                </c:pt>
                <c:pt idx="4">
                  <c:v>26.006711409396</c:v>
                </c:pt>
                <c:pt idx="5">
                  <c:v>6.29194630872483</c:v>
                </c:pt>
              </c:numCache>
            </c:numRef>
          </c:val>
        </c:ser>
        <c:ser>
          <c:idx val="4"/>
          <c:order val="4"/>
          <c:tx>
            <c:strRef>
              <c:f>'Ч9 и серицит'!$G$34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серицит'!$G$35:$G$40</c:f>
              <c:numCache>
                <c:formatCode>General</c:formatCode>
                <c:ptCount val="6"/>
                <c:pt idx="0">
                  <c:v>35.4278523489933</c:v>
                </c:pt>
                <c:pt idx="1">
                  <c:v>33.6409395973154</c:v>
                </c:pt>
                <c:pt idx="2">
                  <c:v>33.5570469798658</c:v>
                </c:pt>
                <c:pt idx="3">
                  <c:v>33.0536912751678</c:v>
                </c:pt>
                <c:pt idx="4">
                  <c:v>32.8859060402685</c:v>
                </c:pt>
                <c:pt idx="5">
                  <c:v>20.9731543624161</c:v>
                </c:pt>
              </c:numCache>
            </c:numRef>
          </c:val>
        </c:ser>
        <c:ser>
          <c:idx val="5"/>
          <c:order val="5"/>
          <c:tx>
            <c:strRef>
              <c:f>'Ч9 и серицит'!$H$34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серицит'!$H$35:$H$40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'Ч9 и серицит'!$I$34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серицит'!$B$35:$B$40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серицит'!$I$35:$I$40</c:f>
              <c:numCache>
                <c:formatCode>General</c:formatCode>
                <c:ptCount val="6"/>
                <c:pt idx="0">
                  <c:v>12.4327516778524</c:v>
                </c:pt>
                <c:pt idx="1">
                  <c:v>33.1040268456376</c:v>
                </c:pt>
                <c:pt idx="2">
                  <c:v>35.1006711409396</c:v>
                </c:pt>
                <c:pt idx="3">
                  <c:v>37.1040268456376</c:v>
                </c:pt>
                <c:pt idx="4">
                  <c:v>38.8523489932886</c:v>
                </c:pt>
                <c:pt idx="5">
                  <c:v>49.8288590604027</c:v>
                </c:pt>
              </c:numCache>
            </c:numRef>
          </c:val>
        </c:ser>
        <c:gapWidth val="75"/>
        <c:shape val="box"/>
        <c:axId val="74488408"/>
        <c:axId val="51526339"/>
        <c:axId val="0"/>
      </c:bar3DChart>
      <c:catAx>
        <c:axId val="7448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526339"/>
        <c:crosses val="autoZero"/>
        <c:auto val="1"/>
        <c:lblAlgn val="ctr"/>
        <c:lblOffset val="100"/>
      </c:catAx>
      <c:valAx>
        <c:axId val="515263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74488408"/>
        <c:crosses val="autoZero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Розрахований склад  продуктів термообробки  кварц-пірофілітової сировини</a:t>
            </a:r>
          </a:p>
        </c:rich>
      </c:tx>
      <c:layout/>
    </c:title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'Ч9 и серицит'!$C$42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серицит'!$C$43:$C$48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'Ч9 и серицит'!$D$42</c:f>
              <c:strCache>
                <c:ptCount val="1"/>
                <c:pt idx="0">
                  <c:v>NAS2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серицит'!$D$43:$D$48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'Ч9 и серицит'!$E$42</c:f>
              <c:strCache>
                <c:ptCount val="1"/>
                <c:pt idx="0">
                  <c:v>КАS6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серицит'!$E$43:$E$48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'Ч9 и серицит'!$F$42</c:f>
              <c:strCache>
                <c:ptCount val="1"/>
                <c:pt idx="0">
                  <c:v>КАS4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серицит'!$F$43:$F$48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'Ч9 и серицит'!$G$42</c:f>
              <c:strCache>
                <c:ptCount val="1"/>
                <c:pt idx="0">
                  <c:v>A3S2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серицит'!$G$43:$G$48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19.75</c:v>
                </c:pt>
                <c:pt idx="3">
                  <c:v>19.5</c:v>
                </c:pt>
                <c:pt idx="4">
                  <c:v>19.25</c:v>
                </c:pt>
                <c:pt idx="5">
                  <c:v>19.25</c:v>
                </c:pt>
              </c:numCache>
            </c:numRef>
          </c:val>
        </c:ser>
        <c:ser>
          <c:idx val="5"/>
          <c:order val="5"/>
          <c:tx>
            <c:strRef>
              <c:f>'Ч9 и серицит'!$H$42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серицит'!$H$43:$H$48</c:f>
              <c:numCache>
                <c:formatCode>General</c:formatCode>
                <c:ptCount val="6"/>
                <c:pt idx="0">
                  <c:v>67</c:v>
                </c:pt>
                <c:pt idx="1">
                  <c:v>62.5</c:v>
                </c:pt>
                <c:pt idx="2">
                  <c:v>57</c:v>
                </c:pt>
                <c:pt idx="3">
                  <c:v>51.5</c:v>
                </c:pt>
                <c:pt idx="4">
                  <c:v>45.75</c:v>
                </c:pt>
                <c:pt idx="5">
                  <c:v>38.5</c:v>
                </c:pt>
              </c:numCache>
            </c:numRef>
          </c:val>
        </c:ser>
        <c:ser>
          <c:idx val="6"/>
          <c:order val="6"/>
          <c:tx>
            <c:strRef>
              <c:f>'Ч9 и серицит'!$I$42</c:f>
              <c:strCache>
                <c:ptCount val="1"/>
                <c:pt idx="0">
                  <c:v>расплав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dLbls>
            <c:spPr>
              <a:ln w="25560">
                <a:solidFill>
                  <a:srgbClr val="-1"/>
                </a:solidFill>
              </a:ln>
            </c:spPr>
            <c:showLegendKey val="0"/>
            <c:showVal val="1"/>
            <c:showCatName val="0"/>
            <c:showSerName val="0"/>
            <c:showPercent val="0"/>
          </c:dLbls>
          <c:cat>
            <c:strRef>
              <c:f>'Ч9 и серицит'!$B$43:$B$48</c:f>
              <c:strCache>
                <c:ptCount val="6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</c:strCache>
            </c:strRef>
          </c:cat>
          <c:val>
            <c:numRef>
              <c:f>'Ч9 и серицит'!$I$43:$I$48</c:f>
              <c:numCache>
                <c:formatCode>General</c:formatCode>
                <c:ptCount val="6"/>
                <c:pt idx="0">
                  <c:v>13</c:v>
                </c:pt>
                <c:pt idx="1">
                  <c:v>17.5</c:v>
                </c:pt>
                <c:pt idx="2">
                  <c:v>23.25</c:v>
                </c:pt>
                <c:pt idx="3">
                  <c:v>29</c:v>
                </c:pt>
                <c:pt idx="4">
                  <c:v>35</c:v>
                </c:pt>
                <c:pt idx="5">
                  <c:v>42.25</c:v>
                </c:pt>
              </c:numCache>
            </c:numRef>
          </c:val>
        </c:ser>
        <c:gapWidth val="75"/>
        <c:shape val="box"/>
        <c:axId val="64075799"/>
        <c:axId val="56482743"/>
        <c:axId val="0"/>
      </c:bar3DChart>
      <c:catAx>
        <c:axId val="64075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482743"/>
        <c:crosses val="autoZero"/>
        <c:auto val="1"/>
        <c:lblAlgn val="ctr"/>
        <c:lblOffset val="100"/>
      </c:catAx>
      <c:valAx>
        <c:axId val="564827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4075799"/>
        <c:crosses val="autoZero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189360</xdr:colOff>
      <xdr:row>32</xdr:row>
      <xdr:rowOff>29520</xdr:rowOff>
    </xdr:from>
    <xdr:to>
      <xdr:col>25</xdr:col>
      <xdr:colOff>493920</xdr:colOff>
      <xdr:row>48</xdr:row>
      <xdr:rowOff>86040</xdr:rowOff>
    </xdr:to>
    <xdr:graphicFrame>
      <xdr:nvGraphicFramePr>
        <xdr:cNvPr id="0" name="Диаграмма 1"/>
        <xdr:cNvGraphicFramePr/>
      </xdr:nvGraphicFramePr>
      <xdr:xfrm>
        <a:off x="6832440" y="6065640"/>
        <a:ext cx="11462760" cy="27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198720</xdr:colOff>
      <xdr:row>48</xdr:row>
      <xdr:rowOff>124200</xdr:rowOff>
    </xdr:from>
    <xdr:to>
      <xdr:col>25</xdr:col>
      <xdr:colOff>503280</xdr:colOff>
      <xdr:row>65</xdr:row>
      <xdr:rowOff>86040</xdr:rowOff>
    </xdr:to>
    <xdr:graphicFrame>
      <xdr:nvGraphicFramePr>
        <xdr:cNvPr id="1" name="Диаграмма 3"/>
        <xdr:cNvGraphicFramePr/>
      </xdr:nvGraphicFramePr>
      <xdr:xfrm>
        <a:off x="6841800" y="8824320"/>
        <a:ext cx="11462760" cy="27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433080</xdr:colOff>
      <xdr:row>44</xdr:row>
      <xdr:rowOff>66600</xdr:rowOff>
    </xdr:from>
    <xdr:to>
      <xdr:col>52</xdr:col>
      <xdr:colOff>352440</xdr:colOff>
      <xdr:row>67</xdr:row>
      <xdr:rowOff>35640</xdr:rowOff>
    </xdr:to>
    <xdr:graphicFrame>
      <xdr:nvGraphicFramePr>
        <xdr:cNvPr id="2" name="Диаграмма 4"/>
        <xdr:cNvGraphicFramePr/>
      </xdr:nvGraphicFramePr>
      <xdr:xfrm>
        <a:off x="29059920" y="8107560"/>
        <a:ext cx="7137000" cy="371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517320</xdr:colOff>
      <xdr:row>48</xdr:row>
      <xdr:rowOff>137880</xdr:rowOff>
    </xdr:from>
    <xdr:to>
      <xdr:col>9</xdr:col>
      <xdr:colOff>441360</xdr:colOff>
      <xdr:row>80</xdr:row>
      <xdr:rowOff>126360</xdr:rowOff>
    </xdr:to>
    <xdr:graphicFrame>
      <xdr:nvGraphicFramePr>
        <xdr:cNvPr id="3" name="Диаграмма 4"/>
        <xdr:cNvGraphicFramePr/>
      </xdr:nvGraphicFramePr>
      <xdr:xfrm>
        <a:off x="517320" y="8838000"/>
        <a:ext cx="6567120" cy="51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27000</xdr:colOff>
      <xdr:row>82</xdr:row>
      <xdr:rowOff>153000</xdr:rowOff>
    </xdr:from>
    <xdr:to>
      <xdr:col>8</xdr:col>
      <xdr:colOff>653040</xdr:colOff>
      <xdr:row>114</xdr:row>
      <xdr:rowOff>146520</xdr:rowOff>
    </xdr:to>
    <xdr:graphicFrame>
      <xdr:nvGraphicFramePr>
        <xdr:cNvPr id="4" name="Диаграмма 37"/>
        <xdr:cNvGraphicFramePr/>
      </xdr:nvGraphicFramePr>
      <xdr:xfrm>
        <a:off x="27000" y="14379480"/>
        <a:ext cx="6523200" cy="51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117000</xdr:colOff>
      <xdr:row>82</xdr:row>
      <xdr:rowOff>125640</xdr:rowOff>
    </xdr:from>
    <xdr:to>
      <xdr:col>19</xdr:col>
      <xdr:colOff>84960</xdr:colOff>
      <xdr:row>114</xdr:row>
      <xdr:rowOff>136800</xdr:rowOff>
    </xdr:to>
    <xdr:graphicFrame>
      <xdr:nvGraphicFramePr>
        <xdr:cNvPr id="5" name="Диаграмма 38"/>
        <xdr:cNvGraphicFramePr/>
      </xdr:nvGraphicFramePr>
      <xdr:xfrm>
        <a:off x="6760080" y="14352120"/>
        <a:ext cx="7174800" cy="521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105840</xdr:colOff>
      <xdr:row>48</xdr:row>
      <xdr:rowOff>69480</xdr:rowOff>
    </xdr:from>
    <xdr:to>
      <xdr:col>19</xdr:col>
      <xdr:colOff>73800</xdr:colOff>
      <xdr:row>80</xdr:row>
      <xdr:rowOff>57960</xdr:rowOff>
    </xdr:to>
    <xdr:graphicFrame>
      <xdr:nvGraphicFramePr>
        <xdr:cNvPr id="6" name="Диаграмма 39"/>
        <xdr:cNvGraphicFramePr/>
      </xdr:nvGraphicFramePr>
      <xdr:xfrm>
        <a:off x="6748920" y="8769600"/>
        <a:ext cx="7174800" cy="51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189000</xdr:colOff>
      <xdr:row>32</xdr:row>
      <xdr:rowOff>29160</xdr:rowOff>
    </xdr:from>
    <xdr:to>
      <xdr:col>24</xdr:col>
      <xdr:colOff>493560</xdr:colOff>
      <xdr:row>48</xdr:row>
      <xdr:rowOff>86040</xdr:rowOff>
    </xdr:to>
    <xdr:graphicFrame>
      <xdr:nvGraphicFramePr>
        <xdr:cNvPr id="7" name="Диаграмма 1"/>
        <xdr:cNvGraphicFramePr/>
      </xdr:nvGraphicFramePr>
      <xdr:xfrm>
        <a:off x="6832080" y="6229800"/>
        <a:ext cx="1081764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198360</xdr:colOff>
      <xdr:row>48</xdr:row>
      <xdr:rowOff>124200</xdr:rowOff>
    </xdr:from>
    <xdr:to>
      <xdr:col>24</xdr:col>
      <xdr:colOff>502920</xdr:colOff>
      <xdr:row>65</xdr:row>
      <xdr:rowOff>85680</xdr:rowOff>
    </xdr:to>
    <xdr:graphicFrame>
      <xdr:nvGraphicFramePr>
        <xdr:cNvPr id="8" name="Диаграмма 3"/>
        <xdr:cNvGraphicFramePr/>
      </xdr:nvGraphicFramePr>
      <xdr:xfrm>
        <a:off x="6841440" y="8991720"/>
        <a:ext cx="108176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231120</xdr:colOff>
      <xdr:row>34</xdr:row>
      <xdr:rowOff>55440</xdr:rowOff>
    </xdr:from>
    <xdr:to>
      <xdr:col>40</xdr:col>
      <xdr:colOff>285120</xdr:colOff>
      <xdr:row>56</xdr:row>
      <xdr:rowOff>125280</xdr:rowOff>
    </xdr:to>
    <xdr:graphicFrame>
      <xdr:nvGraphicFramePr>
        <xdr:cNvPr id="9" name="Диаграмма 4"/>
        <xdr:cNvGraphicFramePr/>
      </xdr:nvGraphicFramePr>
      <xdr:xfrm>
        <a:off x="21116160" y="6598800"/>
        <a:ext cx="7150680" cy="36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195120</xdr:colOff>
      <xdr:row>65</xdr:row>
      <xdr:rowOff>125640</xdr:rowOff>
    </xdr:from>
    <xdr:to>
      <xdr:col>9</xdr:col>
      <xdr:colOff>115200</xdr:colOff>
      <xdr:row>97</xdr:row>
      <xdr:rowOff>123840</xdr:rowOff>
    </xdr:to>
    <xdr:graphicFrame>
      <xdr:nvGraphicFramePr>
        <xdr:cNvPr id="10" name="Диаграмма 38"/>
        <xdr:cNvGraphicFramePr/>
      </xdr:nvGraphicFramePr>
      <xdr:xfrm>
        <a:off x="195120" y="11746080"/>
        <a:ext cx="6563160" cy="51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183960</xdr:colOff>
      <xdr:row>65</xdr:row>
      <xdr:rowOff>114120</xdr:rowOff>
    </xdr:from>
    <xdr:to>
      <xdr:col>18</xdr:col>
      <xdr:colOff>152280</xdr:colOff>
      <xdr:row>97</xdr:row>
      <xdr:rowOff>124920</xdr:rowOff>
    </xdr:to>
    <xdr:graphicFrame>
      <xdr:nvGraphicFramePr>
        <xdr:cNvPr id="11" name="Диаграмма 40"/>
        <xdr:cNvGraphicFramePr/>
      </xdr:nvGraphicFramePr>
      <xdr:xfrm>
        <a:off x="6827040" y="11734560"/>
        <a:ext cx="6530040" cy="51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512640</xdr:colOff>
      <xdr:row>20</xdr:row>
      <xdr:rowOff>48240</xdr:rowOff>
    </xdr:from>
    <xdr:to>
      <xdr:col>6</xdr:col>
      <xdr:colOff>198000</xdr:colOff>
      <xdr:row>37</xdr:row>
      <xdr:rowOff>152640</xdr:rowOff>
    </xdr:to>
    <xdr:graphicFrame>
      <xdr:nvGraphicFramePr>
        <xdr:cNvPr id="12" name="Chart 2"/>
        <xdr:cNvGraphicFramePr/>
      </xdr:nvGraphicFramePr>
      <xdr:xfrm>
        <a:off x="512640" y="3353400"/>
        <a:ext cx="48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264960</xdr:colOff>
      <xdr:row>20</xdr:row>
      <xdr:rowOff>48240</xdr:rowOff>
    </xdr:from>
    <xdr:to>
      <xdr:col>11</xdr:col>
      <xdr:colOff>36000</xdr:colOff>
      <xdr:row>37</xdr:row>
      <xdr:rowOff>162360</xdr:rowOff>
    </xdr:to>
    <xdr:graphicFrame>
      <xdr:nvGraphicFramePr>
        <xdr:cNvPr id="13" name="Chart 3"/>
        <xdr:cNvGraphicFramePr/>
      </xdr:nvGraphicFramePr>
      <xdr:xfrm>
        <a:off x="5414760" y="3353400"/>
        <a:ext cx="490608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455760</xdr:colOff>
      <xdr:row>38</xdr:row>
      <xdr:rowOff>29160</xdr:rowOff>
    </xdr:from>
    <xdr:to>
      <xdr:col>6</xdr:col>
      <xdr:colOff>179280</xdr:colOff>
      <xdr:row>57</xdr:row>
      <xdr:rowOff>57240</xdr:rowOff>
    </xdr:to>
    <xdr:graphicFrame>
      <xdr:nvGraphicFramePr>
        <xdr:cNvPr id="14" name="Chart 4"/>
        <xdr:cNvGraphicFramePr/>
      </xdr:nvGraphicFramePr>
      <xdr:xfrm>
        <a:off x="455760" y="6248880"/>
        <a:ext cx="4873320" cy="31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36360</xdr:colOff>
      <xdr:row>39</xdr:row>
      <xdr:rowOff>360</xdr:rowOff>
    </xdr:from>
    <xdr:to>
      <xdr:col>10</xdr:col>
      <xdr:colOff>416880</xdr:colOff>
      <xdr:row>56</xdr:row>
      <xdr:rowOff>114480</xdr:rowOff>
    </xdr:to>
    <xdr:graphicFrame>
      <xdr:nvGraphicFramePr>
        <xdr:cNvPr id="15" name="Chart 5"/>
        <xdr:cNvGraphicFramePr/>
      </xdr:nvGraphicFramePr>
      <xdr:xfrm>
        <a:off x="5186160" y="6382080"/>
        <a:ext cx="490356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208080</xdr:colOff>
      <xdr:row>10</xdr:row>
      <xdr:rowOff>152280</xdr:rowOff>
    </xdr:from>
    <xdr:to>
      <xdr:col>9</xdr:col>
      <xdr:colOff>512640</xdr:colOff>
      <xdr:row>27</xdr:row>
      <xdr:rowOff>142200</xdr:rowOff>
    </xdr:to>
    <xdr:graphicFrame>
      <xdr:nvGraphicFramePr>
        <xdr:cNvPr id="16" name="Диаграмма 2"/>
        <xdr:cNvGraphicFramePr/>
      </xdr:nvGraphicFramePr>
      <xdr:xfrm>
        <a:off x="1515240" y="1771920"/>
        <a:ext cx="470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131760</xdr:colOff>
      <xdr:row>47</xdr:row>
      <xdr:rowOff>29160</xdr:rowOff>
    </xdr:from>
    <xdr:to>
      <xdr:col>32</xdr:col>
      <xdr:colOff>245880</xdr:colOff>
      <xdr:row>75</xdr:row>
      <xdr:rowOff>47880</xdr:rowOff>
    </xdr:to>
    <xdr:graphicFrame>
      <xdr:nvGraphicFramePr>
        <xdr:cNvPr id="17" name="Chart 3"/>
        <xdr:cNvGraphicFramePr/>
      </xdr:nvGraphicFramePr>
      <xdr:xfrm>
        <a:off x="11762280" y="8334720"/>
        <a:ext cx="8071920" cy="45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503280</xdr:colOff>
      <xdr:row>76</xdr:row>
      <xdr:rowOff>95760</xdr:rowOff>
    </xdr:from>
    <xdr:to>
      <xdr:col>26</xdr:col>
      <xdr:colOff>360000</xdr:colOff>
      <xdr:row>96</xdr:row>
      <xdr:rowOff>19080</xdr:rowOff>
    </xdr:to>
    <xdr:graphicFrame>
      <xdr:nvGraphicFramePr>
        <xdr:cNvPr id="18" name="Chart 4"/>
        <xdr:cNvGraphicFramePr/>
      </xdr:nvGraphicFramePr>
      <xdr:xfrm>
        <a:off x="11521800" y="13106880"/>
        <a:ext cx="475380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474840</xdr:colOff>
      <xdr:row>76</xdr:row>
      <xdr:rowOff>105480</xdr:rowOff>
    </xdr:from>
    <xdr:to>
      <xdr:col>34</xdr:col>
      <xdr:colOff>398160</xdr:colOff>
      <xdr:row>95</xdr:row>
      <xdr:rowOff>133560</xdr:rowOff>
    </xdr:to>
    <xdr:graphicFrame>
      <xdr:nvGraphicFramePr>
        <xdr:cNvPr id="19" name="Chart 5"/>
        <xdr:cNvGraphicFramePr/>
      </xdr:nvGraphicFramePr>
      <xdr:xfrm>
        <a:off x="16390440" y="13116600"/>
        <a:ext cx="4820400" cy="31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484200</xdr:colOff>
      <xdr:row>76</xdr:row>
      <xdr:rowOff>124200</xdr:rowOff>
    </xdr:from>
    <xdr:to>
      <xdr:col>42</xdr:col>
      <xdr:colOff>407520</xdr:colOff>
      <xdr:row>98</xdr:row>
      <xdr:rowOff>38160</xdr:rowOff>
    </xdr:to>
    <xdr:graphicFrame>
      <xdr:nvGraphicFramePr>
        <xdr:cNvPr id="20" name="Chart 6"/>
        <xdr:cNvGraphicFramePr/>
      </xdr:nvGraphicFramePr>
      <xdr:xfrm>
        <a:off x="21296880" y="13135320"/>
        <a:ext cx="482040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R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" activeCellId="0" sqref="E2:Y2"/>
    </sheetView>
  </sheetViews>
  <sheetFormatPr defaultRowHeight="12.8"/>
  <cols>
    <col collapsed="false" hidden="false" max="1" min="1" style="0" width="18.1428571428571"/>
    <col collapsed="false" hidden="false" max="3" min="2" style="0" width="9.14285714285714"/>
    <col collapsed="false" hidden="false" max="4" min="4" style="0" width="10.5765306122449"/>
    <col collapsed="false" hidden="false" max="8" min="5" style="0" width="9.14285714285714"/>
    <col collapsed="false" hidden="false" max="9" min="9" style="0" width="10.5765306122449"/>
    <col collapsed="false" hidden="false" max="10" min="10" style="0" width="9.5765306122449"/>
    <col collapsed="false" hidden="false" max="11" min="11" style="0" width="12.7091836734694"/>
    <col collapsed="false" hidden="false" max="12" min="12" style="0" width="9.85204081632653"/>
    <col collapsed="false" hidden="false" max="13" min="13" style="0" width="9.4234693877551"/>
    <col collapsed="false" hidden="false" max="14" min="14" style="0" width="9.14285714285714"/>
    <col collapsed="false" hidden="false" max="15" min="15" style="0" width="10"/>
    <col collapsed="false" hidden="false" max="16" min="16" style="0" width="9.14285714285714"/>
    <col collapsed="false" hidden="false" max="18" min="17" style="0" width="11.5714285714286"/>
    <col collapsed="false" hidden="false" max="19" min="19" style="0" width="9.14285714285714"/>
    <col collapsed="false" hidden="false" max="20" min="20" style="0" width="10.2857142857143"/>
    <col collapsed="false" hidden="false" max="26" min="21" style="0" width="9.14285714285714"/>
    <col collapsed="false" hidden="false" max="28" min="27" style="0" width="12.7091836734694"/>
    <col collapsed="false" hidden="false" max="45" min="29" style="0" width="9.14285714285714"/>
    <col collapsed="false" hidden="false" max="47" min="46" style="0" width="10"/>
    <col collapsed="false" hidden="false" max="1025" min="48" style="0" width="9.14285714285714"/>
  </cols>
  <sheetData>
    <row r="2" customFormat="false" ht="15" hidden="false" customHeight="false" outlineLevel="0" collapsed="false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8" hidden="false" customHeight="false" outlineLevel="0" collapsed="false">
      <c r="AQ3" s="2"/>
      <c r="AX3" s="2"/>
    </row>
    <row r="5" customFormat="false" ht="12.75" hidden="false" customHeight="true" outlineLevel="0" collapsed="false">
      <c r="A5" s="3" t="s">
        <v>1</v>
      </c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 t="s">
        <v>3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 t="s">
        <v>4</v>
      </c>
      <c r="AK5" s="6"/>
      <c r="AL5" s="6"/>
      <c r="AM5" s="6"/>
      <c r="AN5" s="7" t="s">
        <v>5</v>
      </c>
      <c r="AO5" s="7"/>
      <c r="AP5" s="7"/>
      <c r="AQ5" s="7"/>
      <c r="AR5" s="8" t="s">
        <v>6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9"/>
      <c r="BE5" s="10" t="s">
        <v>7</v>
      </c>
      <c r="BF5" s="10" t="s">
        <v>8</v>
      </c>
      <c r="BG5" s="10" t="s">
        <v>9</v>
      </c>
      <c r="BH5" s="10" t="s">
        <v>10</v>
      </c>
      <c r="BI5" s="10" t="s">
        <v>11</v>
      </c>
      <c r="BJ5" s="10" t="s">
        <v>12</v>
      </c>
      <c r="BK5" s="10" t="s">
        <v>13</v>
      </c>
      <c r="BL5" s="10" t="s">
        <v>14</v>
      </c>
      <c r="BM5" s="10" t="s">
        <v>15</v>
      </c>
      <c r="BN5" s="10" t="s">
        <v>16</v>
      </c>
      <c r="BO5" s="11" t="s">
        <v>17</v>
      </c>
    </row>
    <row r="6" customFormat="false" ht="13.5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6"/>
      <c r="AL6" s="6"/>
      <c r="AM6" s="6"/>
      <c r="AN6" s="7"/>
      <c r="AO6" s="7"/>
      <c r="AP6" s="7"/>
      <c r="AQ6" s="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  <c r="BE6" s="12" t="n">
        <v>80.03</v>
      </c>
      <c r="BF6" s="12" t="n">
        <v>15.04</v>
      </c>
      <c r="BG6" s="12" t="n">
        <v>0.2</v>
      </c>
      <c r="BH6" s="12" t="n">
        <v>0.2</v>
      </c>
      <c r="BI6" s="12" t="n">
        <v>0.38</v>
      </c>
      <c r="BJ6" s="12" t="n">
        <v>0.05</v>
      </c>
      <c r="BK6" s="12" t="n">
        <v>0.05</v>
      </c>
      <c r="BL6" s="12" t="n">
        <v>0.1</v>
      </c>
      <c r="BM6" s="12" t="n">
        <v>0.12</v>
      </c>
      <c r="BN6" s="12" t="n">
        <v>0.09</v>
      </c>
      <c r="BO6" s="12" t="n">
        <f aca="false">SUM(BE6:BN6)</f>
        <v>96.26</v>
      </c>
    </row>
    <row r="7" customFormat="false" ht="38.25" hidden="false" customHeight="true" outlineLevel="0" collapsed="false">
      <c r="A7" s="3"/>
      <c r="B7" s="13" t="s">
        <v>18</v>
      </c>
      <c r="C7" s="14" t="s">
        <v>19</v>
      </c>
      <c r="D7" s="14" t="s">
        <v>20</v>
      </c>
      <c r="E7" s="3" t="s">
        <v>21</v>
      </c>
      <c r="F7" s="3" t="s">
        <v>22</v>
      </c>
      <c r="G7" s="3"/>
      <c r="H7" s="3"/>
      <c r="I7" s="3"/>
      <c r="J7" s="3"/>
      <c r="K7" s="15" t="s">
        <v>23</v>
      </c>
      <c r="L7" s="16" t="s">
        <v>24</v>
      </c>
      <c r="M7" s="16"/>
      <c r="N7" s="16"/>
      <c r="O7" s="16"/>
      <c r="P7" s="16"/>
      <c r="Q7" s="16" t="s">
        <v>25</v>
      </c>
      <c r="R7" s="16"/>
      <c r="S7" s="16"/>
      <c r="T7" s="14" t="s">
        <v>26</v>
      </c>
      <c r="U7" s="3" t="s">
        <v>21</v>
      </c>
      <c r="V7" s="3" t="s">
        <v>22</v>
      </c>
      <c r="W7" s="3"/>
      <c r="X7" s="3"/>
      <c r="Y7" s="3"/>
      <c r="Z7" s="3"/>
      <c r="AA7" s="17" t="s">
        <v>23</v>
      </c>
      <c r="AB7" s="18"/>
      <c r="AC7" s="19" t="s">
        <v>24</v>
      </c>
      <c r="AD7" s="19"/>
      <c r="AE7" s="19"/>
      <c r="AF7" s="19"/>
      <c r="AG7" s="20" t="s">
        <v>25</v>
      </c>
      <c r="AH7" s="20"/>
      <c r="AI7" s="20"/>
      <c r="AJ7" s="6"/>
      <c r="AK7" s="6"/>
      <c r="AL7" s="6"/>
      <c r="AM7" s="6"/>
      <c r="AN7" s="7"/>
      <c r="AO7" s="7"/>
      <c r="AP7" s="7"/>
      <c r="AQ7" s="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E7" s="21" t="n">
        <f aca="false">BE6*100/$BO$6</f>
        <v>83.1394140868481</v>
      </c>
      <c r="BF7" s="21" t="n">
        <f aca="false">BF6*100/$BO$6</f>
        <v>15.6243507168086</v>
      </c>
      <c r="BG7" s="21" t="n">
        <f aca="false">BG6*100/$BO$6</f>
        <v>0.207770621234157</v>
      </c>
      <c r="BH7" s="21" t="n">
        <f aca="false">BH6*100/$BO$6</f>
        <v>0.207770621234157</v>
      </c>
      <c r="BI7" s="21" t="n">
        <f aca="false">BI6*100/$BO$6</f>
        <v>0.394764180344899</v>
      </c>
      <c r="BJ7" s="21" t="n">
        <f aca="false">BJ6*100/$BO$6</f>
        <v>0.0519426553085394</v>
      </c>
      <c r="BK7" s="21" t="n">
        <f aca="false">BK6*100/$BO$6</f>
        <v>0.0519426553085394</v>
      </c>
      <c r="BL7" s="21" t="n">
        <f aca="false">BL6*100/$BO$6</f>
        <v>0.103885310617079</v>
      </c>
      <c r="BM7" s="21" t="n">
        <f aca="false">BM6*100/$BO$6</f>
        <v>0.124662372740495</v>
      </c>
      <c r="BN7" s="21" t="n">
        <f aca="false">BN6*100/$BO$6</f>
        <v>0.0934967795553709</v>
      </c>
      <c r="BO7" s="12" t="n">
        <f aca="false">SUM(BE7:BN7)</f>
        <v>100</v>
      </c>
    </row>
    <row r="8" customFormat="false" ht="13.5" hidden="false" customHeight="true" outlineLevel="0" collapsed="false">
      <c r="A8" s="3"/>
      <c r="B8" s="13"/>
      <c r="C8" s="14"/>
      <c r="D8" s="14"/>
      <c r="E8" s="3"/>
      <c r="F8" s="3"/>
      <c r="G8" s="3"/>
      <c r="H8" s="3"/>
      <c r="I8" s="3"/>
      <c r="J8" s="3"/>
      <c r="K8" s="15"/>
      <c r="L8" s="16"/>
      <c r="M8" s="16"/>
      <c r="N8" s="16"/>
      <c r="O8" s="16"/>
      <c r="P8" s="16"/>
      <c r="Q8" s="16"/>
      <c r="R8" s="16"/>
      <c r="S8" s="16"/>
      <c r="T8" s="14"/>
      <c r="U8" s="3"/>
      <c r="V8" s="3"/>
      <c r="W8" s="3"/>
      <c r="X8" s="3"/>
      <c r="Y8" s="3"/>
      <c r="Z8" s="3"/>
      <c r="AA8" s="17"/>
      <c r="AB8" s="22"/>
      <c r="AC8" s="19"/>
      <c r="AD8" s="19"/>
      <c r="AE8" s="19"/>
      <c r="AF8" s="19"/>
      <c r="AG8" s="20"/>
      <c r="AH8" s="20"/>
      <c r="AI8" s="20"/>
      <c r="AJ8" s="6"/>
      <c r="AK8" s="6"/>
      <c r="AL8" s="6"/>
      <c r="AM8" s="6"/>
      <c r="AN8" s="7"/>
      <c r="AO8" s="7"/>
      <c r="AP8" s="7"/>
      <c r="AQ8" s="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</row>
    <row r="9" customFormat="false" ht="14.9" hidden="false" customHeight="false" outlineLevel="0" collapsed="false">
      <c r="A9" s="3"/>
      <c r="B9" s="13"/>
      <c r="C9" s="14"/>
      <c r="D9" s="14"/>
      <c r="E9" s="3"/>
      <c r="F9" s="23" t="s">
        <v>27</v>
      </c>
      <c r="G9" s="3" t="s">
        <v>28</v>
      </c>
      <c r="H9" s="24" t="s">
        <v>29</v>
      </c>
      <c r="I9" s="3" t="s">
        <v>30</v>
      </c>
      <c r="J9" s="25" t="s">
        <v>31</v>
      </c>
      <c r="K9" s="15"/>
      <c r="L9" s="26" t="s">
        <v>27</v>
      </c>
      <c r="M9" s="15" t="s">
        <v>28</v>
      </c>
      <c r="N9" s="27" t="s">
        <v>29</v>
      </c>
      <c r="O9" s="28" t="s">
        <v>30</v>
      </c>
      <c r="P9" s="15" t="s">
        <v>31</v>
      </c>
      <c r="Q9" s="29" t="s">
        <v>9</v>
      </c>
      <c r="R9" s="27" t="s">
        <v>8</v>
      </c>
      <c r="S9" s="27" t="s">
        <v>7</v>
      </c>
      <c r="T9" s="14"/>
      <c r="U9" s="3"/>
      <c r="V9" s="30" t="s">
        <v>27</v>
      </c>
      <c r="W9" s="31" t="s">
        <v>32</v>
      </c>
      <c r="X9" s="31" t="s">
        <v>33</v>
      </c>
      <c r="Y9" s="31" t="s">
        <v>30</v>
      </c>
      <c r="Z9" s="31" t="s">
        <v>31</v>
      </c>
      <c r="AA9" s="17"/>
      <c r="AB9" s="20" t="s">
        <v>27</v>
      </c>
      <c r="AC9" s="32" t="s">
        <v>32</v>
      </c>
      <c r="AD9" s="32" t="s">
        <v>33</v>
      </c>
      <c r="AE9" s="33" t="s">
        <v>30</v>
      </c>
      <c r="AF9" s="34" t="s">
        <v>31</v>
      </c>
      <c r="AG9" s="35" t="s">
        <v>34</v>
      </c>
      <c r="AH9" s="32" t="s">
        <v>8</v>
      </c>
      <c r="AI9" s="32" t="s">
        <v>7</v>
      </c>
      <c r="AJ9" s="36" t="s">
        <v>9</v>
      </c>
      <c r="AK9" s="36" t="s">
        <v>10</v>
      </c>
      <c r="AL9" s="36" t="s">
        <v>8</v>
      </c>
      <c r="AM9" s="36" t="s">
        <v>7</v>
      </c>
      <c r="AN9" s="37" t="s">
        <v>9</v>
      </c>
      <c r="AO9" s="37" t="s">
        <v>10</v>
      </c>
      <c r="AP9" s="37" t="s">
        <v>8</v>
      </c>
      <c r="AQ9" s="38" t="s">
        <v>7</v>
      </c>
      <c r="AR9" s="39" t="s">
        <v>9</v>
      </c>
      <c r="AS9" s="40" t="s">
        <v>10</v>
      </c>
      <c r="AT9" s="40" t="s">
        <v>8</v>
      </c>
      <c r="AU9" s="40" t="s">
        <v>7</v>
      </c>
      <c r="AV9" s="41" t="s">
        <v>11</v>
      </c>
      <c r="AW9" s="42" t="s">
        <v>12</v>
      </c>
      <c r="AX9" s="43" t="s">
        <v>13</v>
      </c>
      <c r="AY9" s="42" t="s">
        <v>14</v>
      </c>
      <c r="AZ9" s="44" t="s">
        <v>15</v>
      </c>
      <c r="BA9" s="44" t="s">
        <v>16</v>
      </c>
      <c r="BB9" s="45" t="s">
        <v>17</v>
      </c>
      <c r="BC9" s="46"/>
    </row>
    <row r="10" customFormat="false" ht="12.8" hidden="false" customHeight="true" outlineLevel="0" collapsed="false">
      <c r="A10" s="47" t="s">
        <v>35</v>
      </c>
      <c r="B10" s="48" t="n">
        <v>1100</v>
      </c>
      <c r="C10" s="49" t="n">
        <v>10.43</v>
      </c>
      <c r="D10" s="49" t="n">
        <f aca="false">1.68/C10</f>
        <v>0.161073825503356</v>
      </c>
      <c r="E10" s="50" t="n">
        <f aca="false">SUM(F10:J10)</f>
        <v>22.82</v>
      </c>
      <c r="F10" s="50" t="n">
        <v>21.82</v>
      </c>
      <c r="G10" s="50" t="n">
        <v>1</v>
      </c>
      <c r="H10" s="50" t="n">
        <v>0</v>
      </c>
      <c r="I10" s="31" t="n">
        <v>0</v>
      </c>
      <c r="J10" s="31" t="n">
        <v>0</v>
      </c>
      <c r="K10" s="51" t="n">
        <f aca="false">E10*D10</f>
        <v>3.67570469798658</v>
      </c>
      <c r="L10" s="51" t="n">
        <f aca="false">F10*D10</f>
        <v>3.51463087248322</v>
      </c>
      <c r="M10" s="51" t="n">
        <f aca="false">G10*D10</f>
        <v>0.161073825503356</v>
      </c>
      <c r="N10" s="51" t="n">
        <f aca="false">H10*D10</f>
        <v>0</v>
      </c>
      <c r="O10" s="51" t="n">
        <f aca="false">I10*D10</f>
        <v>0</v>
      </c>
      <c r="P10" s="51" t="n">
        <f aca="false">K10-L10-M10-N10-O10</f>
        <v>6.38378239159465E-016</v>
      </c>
      <c r="Q10" s="51" t="n">
        <f aca="false">N10*$I$26/100+M10*$I$25/100</f>
        <v>0.0351387311677852</v>
      </c>
      <c r="R10" s="51" t="n">
        <f aca="false">L10*$J$24/100+M10*$J$25/100+N10*$J$26/100+P10*$J$28/100</f>
        <v>3.57243722899329</v>
      </c>
      <c r="S10" s="51" t="n">
        <f aca="false">M10*$K$25/100+N10*$K$26/100+O10*$K$29/100+P10*$K$28/100</f>
        <v>0.0681287378255035</v>
      </c>
      <c r="T10" s="50" t="n">
        <f aca="false">8.75/C10</f>
        <v>0.838926174496644</v>
      </c>
      <c r="U10" s="50" t="n">
        <f aca="false">SUM(V10:Z10)</f>
        <v>100</v>
      </c>
      <c r="V10" s="50" t="n">
        <v>0</v>
      </c>
      <c r="W10" s="50" t="n">
        <v>45.55</v>
      </c>
      <c r="X10" s="50" t="n">
        <v>12.22</v>
      </c>
      <c r="Y10" s="50" t="n">
        <v>0</v>
      </c>
      <c r="Z10" s="50" t="n">
        <v>42.23</v>
      </c>
      <c r="AA10" s="52" t="n">
        <f aca="false">U10*T10</f>
        <v>83.8926174496644</v>
      </c>
      <c r="AB10" s="52" t="n">
        <f aca="false">V10*T10</f>
        <v>0</v>
      </c>
      <c r="AC10" s="52" t="n">
        <f aca="false">W10*T10</f>
        <v>38.2130872483221</v>
      </c>
      <c r="AD10" s="52" t="n">
        <f aca="false">X10*T10</f>
        <v>10.251677852349</v>
      </c>
      <c r="AE10" s="53" t="n">
        <f aca="false">Y10*T10</f>
        <v>0</v>
      </c>
      <c r="AF10" s="52" t="n">
        <f aca="false">AA10-AC10-AD10-AE10</f>
        <v>35.4278523489933</v>
      </c>
      <c r="AG10" s="52" t="n">
        <f aca="false">AC10*$L$27/100+AD10*$L$30/100</f>
        <v>8.67855839561027</v>
      </c>
      <c r="AH10" s="52" t="n">
        <f aca="false">AC10*$J$27/100+AD10*$J$30/100+AF10*$J$28/100+AB10*$J$24/100</f>
        <v>34.8291461029338</v>
      </c>
      <c r="AI10" s="52" t="n">
        <f aca="false">AC10*$K$27/100+AD10*$K$30/100+AE10*$K$29/100+AF10*$K$28/100</f>
        <v>40.384912951119</v>
      </c>
      <c r="AJ10" s="54" t="n">
        <f aca="false">Q10</f>
        <v>0.0351387311677852</v>
      </c>
      <c r="AK10" s="54" t="n">
        <f aca="false">AG10</f>
        <v>8.67855839561027</v>
      </c>
      <c r="AL10" s="54" t="n">
        <f aca="false">SUM(R10,AH10)</f>
        <v>38.4015833319271</v>
      </c>
      <c r="AM10" s="54" t="n">
        <f aca="false">SUM(S10,AI10)</f>
        <v>40.4530416889445</v>
      </c>
      <c r="AN10" s="49" t="n">
        <v>1.68</v>
      </c>
      <c r="AO10" s="49" t="n">
        <v>8.75</v>
      </c>
      <c r="AP10" s="49" t="n">
        <v>39.88</v>
      </c>
      <c r="AQ10" s="55" t="n">
        <v>47.15</v>
      </c>
      <c r="AR10" s="56" t="n">
        <f aca="false">AN10-AJ10</f>
        <v>1.64486126883221</v>
      </c>
      <c r="AS10" s="57" t="n">
        <f aca="false">AO10-AK10</f>
        <v>0.0714416043897295</v>
      </c>
      <c r="AT10" s="57" t="n">
        <f aca="false">AP10-AL10</f>
        <v>1.47841666807287</v>
      </c>
      <c r="AU10" s="58" t="n">
        <f aca="false">AQ10-AM10</f>
        <v>6.69695831105551</v>
      </c>
      <c r="AV10" s="59" t="n">
        <v>1.57</v>
      </c>
      <c r="AW10" s="59" t="n">
        <v>0.5</v>
      </c>
      <c r="AX10" s="59" t="n">
        <v>0.01</v>
      </c>
      <c r="AY10" s="59" t="n">
        <v>0.34</v>
      </c>
      <c r="AZ10" s="59" t="n">
        <v>0.01</v>
      </c>
      <c r="BA10" s="59" t="n">
        <v>0.11</v>
      </c>
      <c r="BB10" s="60" t="n">
        <f aca="false">SUM(AR10:BA10)</f>
        <v>12.4316778523503</v>
      </c>
      <c r="BC10" s="61"/>
      <c r="BE10" s="2"/>
    </row>
    <row r="11" customFormat="false" ht="12.8" hidden="false" customHeight="false" outlineLevel="0" collapsed="false">
      <c r="A11" s="47"/>
      <c r="B11" s="62" t="n">
        <v>1150</v>
      </c>
      <c r="C11" s="49" t="n">
        <v>10.43</v>
      </c>
      <c r="D11" s="49" t="n">
        <f aca="false">1.68/C11</f>
        <v>0.161073825503356</v>
      </c>
      <c r="E11" s="63" t="n">
        <f aca="false">SUM(F11:J11)</f>
        <v>20</v>
      </c>
      <c r="F11" s="63" t="n">
        <v>20</v>
      </c>
      <c r="G11" s="63" t="n">
        <v>0</v>
      </c>
      <c r="H11" s="63" t="n">
        <v>0</v>
      </c>
      <c r="I11" s="64" t="n">
        <v>0</v>
      </c>
      <c r="J11" s="64" t="n">
        <v>0</v>
      </c>
      <c r="K11" s="65" t="n">
        <f aca="false">E11*D11</f>
        <v>3.22147651006711</v>
      </c>
      <c r="L11" s="65" t="n">
        <f aca="false">F11*D11</f>
        <v>3.22147651006711</v>
      </c>
      <c r="M11" s="65" t="n">
        <f aca="false">G11*D11</f>
        <v>0</v>
      </c>
      <c r="N11" s="65" t="n">
        <f aca="false">H11*D11</f>
        <v>0</v>
      </c>
      <c r="O11" s="65" t="n">
        <f aca="false">I11*D11</f>
        <v>0</v>
      </c>
      <c r="P11" s="65" t="n">
        <f aca="false">K11-L11-M11-N11-O11</f>
        <v>0</v>
      </c>
      <c r="Q11" s="65" t="n">
        <f aca="false">N11*$I$26/100+M11*$I$25/100</f>
        <v>0</v>
      </c>
      <c r="R11" s="65" t="n">
        <f aca="false">L11*$J$24/100+M11*$J$25/100+N11*$J$26/100+P11*$J$28/100</f>
        <v>3.22147651006711</v>
      </c>
      <c r="S11" s="65" t="n">
        <f aca="false">M11*$K$25/100+N11*$K$26/100+O11*$K$29/100+P11*$K$28/100</f>
        <v>0</v>
      </c>
      <c r="T11" s="50" t="n">
        <f aca="false">8.75/C11</f>
        <v>0.838926174496644</v>
      </c>
      <c r="U11" s="50" t="n">
        <f aca="false">SUM(V11:Z11)</f>
        <v>75.9</v>
      </c>
      <c r="V11" s="63" t="n">
        <v>0</v>
      </c>
      <c r="W11" s="63" t="n">
        <v>0</v>
      </c>
      <c r="X11" s="63" t="n">
        <v>35.8</v>
      </c>
      <c r="Y11" s="63" t="n">
        <v>0</v>
      </c>
      <c r="Z11" s="63" t="n">
        <v>40.1</v>
      </c>
      <c r="AA11" s="66" t="n">
        <f aca="false">U11*T11</f>
        <v>63.6744966442953</v>
      </c>
      <c r="AB11" s="52" t="n">
        <f aca="false">V11*T11</f>
        <v>0</v>
      </c>
      <c r="AC11" s="66" t="n">
        <f aca="false">W11*T11</f>
        <v>0</v>
      </c>
      <c r="AD11" s="66" t="n">
        <f aca="false">X11*T11</f>
        <v>30.0335570469799</v>
      </c>
      <c r="AE11" s="67" t="n">
        <f aca="false">Y11*T11</f>
        <v>0</v>
      </c>
      <c r="AF11" s="66" t="n">
        <f aca="false">AA11-AC11-AD11-AE11</f>
        <v>33.6409395973154</v>
      </c>
      <c r="AG11" s="66" t="n">
        <f aca="false">AC11*$L$27/100+AD11*$L$30/100</f>
        <v>6.48127312433308</v>
      </c>
      <c r="AH11" s="52" t="n">
        <f aca="false">AC11*$J$27/100+AD11*$J$30/100+AF11*$J$28/100+AB11*$J$24/100</f>
        <v>31.16784453759</v>
      </c>
      <c r="AI11" s="66" t="n">
        <f aca="false">AC11*$K$27/100+AD11*$K$30/100+AE11*$K$29/100+AF11*$K$28/100</f>
        <v>26.0253789823713</v>
      </c>
      <c r="AJ11" s="68" t="n">
        <f aca="false">Q11</f>
        <v>0</v>
      </c>
      <c r="AK11" s="68" t="n">
        <f aca="false">AG11</f>
        <v>6.48127312433308</v>
      </c>
      <c r="AL11" s="68" t="n">
        <f aca="false">SUM(R11,AH11)</f>
        <v>34.3893210476571</v>
      </c>
      <c r="AM11" s="68" t="n">
        <f aca="false">SUM(S11,AI11)</f>
        <v>26.0253789823713</v>
      </c>
      <c r="AN11" s="69" t="n">
        <v>1.68</v>
      </c>
      <c r="AO11" s="69" t="n">
        <v>8.75</v>
      </c>
      <c r="AP11" s="69" t="n">
        <v>39.88</v>
      </c>
      <c r="AQ11" s="70" t="n">
        <v>47.15</v>
      </c>
      <c r="AR11" s="71" t="n">
        <f aca="false">AN11-AJ11</f>
        <v>1.68</v>
      </c>
      <c r="AS11" s="72" t="n">
        <f aca="false">AO11-AK11</f>
        <v>2.26872687566692</v>
      </c>
      <c r="AT11" s="72" t="n">
        <f aca="false">AP11-AL11</f>
        <v>5.49067895234289</v>
      </c>
      <c r="AU11" s="73" t="n">
        <f aca="false">AQ11-AM11</f>
        <v>21.1246210176287</v>
      </c>
      <c r="AV11" s="74" t="n">
        <v>1.57</v>
      </c>
      <c r="AW11" s="74" t="n">
        <v>0.5</v>
      </c>
      <c r="AX11" s="74" t="n">
        <v>0.01</v>
      </c>
      <c r="AY11" s="74" t="n">
        <v>0.34</v>
      </c>
      <c r="AZ11" s="74" t="n">
        <v>0.01</v>
      </c>
      <c r="BA11" s="74" t="n">
        <v>0.11</v>
      </c>
      <c r="BB11" s="75" t="n">
        <f aca="false">SUM(AR11:BA11)</f>
        <v>33.1040268456385</v>
      </c>
      <c r="BC11" s="61"/>
      <c r="BE11" s="2"/>
    </row>
    <row r="12" customFormat="false" ht="12.8" hidden="false" customHeight="false" outlineLevel="0" collapsed="false">
      <c r="A12" s="47"/>
      <c r="B12" s="62" t="n">
        <v>1200</v>
      </c>
      <c r="C12" s="49" t="n">
        <v>10.43</v>
      </c>
      <c r="D12" s="49" t="n">
        <f aca="false">1.68/C12</f>
        <v>0.161073825503356</v>
      </c>
      <c r="E12" s="63" t="n">
        <f aca="false">SUM(F12:J12)</f>
        <v>17.5</v>
      </c>
      <c r="F12" s="63" t="n">
        <v>17.5</v>
      </c>
      <c r="G12" s="63" t="n">
        <v>0</v>
      </c>
      <c r="H12" s="63" t="n">
        <v>0</v>
      </c>
      <c r="I12" s="64" t="n">
        <v>0</v>
      </c>
      <c r="J12" s="64" t="n">
        <v>0</v>
      </c>
      <c r="K12" s="65" t="n">
        <f aca="false">E12*D12</f>
        <v>2.81879194630873</v>
      </c>
      <c r="L12" s="65" t="n">
        <f aca="false">F12*D12</f>
        <v>2.81879194630873</v>
      </c>
      <c r="M12" s="65" t="n">
        <f aca="false">G12*D12</f>
        <v>0</v>
      </c>
      <c r="N12" s="65" t="n">
        <f aca="false">H12*D12</f>
        <v>0</v>
      </c>
      <c r="O12" s="65" t="n">
        <f aca="false">I12*D12</f>
        <v>0</v>
      </c>
      <c r="P12" s="65" t="n">
        <f aca="false">K12-L12-M12-N12-O12</f>
        <v>0</v>
      </c>
      <c r="Q12" s="65" t="n">
        <f aca="false">N12*$I$26/100+M12*$I$25/100</f>
        <v>0</v>
      </c>
      <c r="R12" s="65" t="n">
        <f aca="false">L12*$J$24/100+M12*$J$25/100+N12*$J$26/100+P12*$J$28/100</f>
        <v>2.81879194630873</v>
      </c>
      <c r="S12" s="65" t="n">
        <f aca="false">M12*$K$25/100+N12*$K$26/100+O12*$K$29/100+P12*$K$28/100</f>
        <v>0</v>
      </c>
      <c r="T12" s="50" t="n">
        <f aca="false">8.75/C12</f>
        <v>0.838926174496644</v>
      </c>
      <c r="U12" s="50" t="n">
        <f aca="false">SUM(V12:Z12)</f>
        <v>74</v>
      </c>
      <c r="V12" s="63" t="n">
        <v>0</v>
      </c>
      <c r="W12" s="63" t="n">
        <v>0</v>
      </c>
      <c r="X12" s="63" t="n">
        <v>34</v>
      </c>
      <c r="Y12" s="63" t="n">
        <v>0</v>
      </c>
      <c r="Z12" s="63" t="n">
        <v>40</v>
      </c>
      <c r="AA12" s="66" t="n">
        <f aca="false">U12*T12</f>
        <v>62.0805369127517</v>
      </c>
      <c r="AB12" s="52" t="n">
        <f aca="false">V12*T12</f>
        <v>0</v>
      </c>
      <c r="AC12" s="66" t="n">
        <f aca="false">W12*T12</f>
        <v>0</v>
      </c>
      <c r="AD12" s="66" t="n">
        <f aca="false">X12*T12</f>
        <v>28.5234899328859</v>
      </c>
      <c r="AE12" s="67" t="n">
        <f aca="false">Y12*T12</f>
        <v>0</v>
      </c>
      <c r="AF12" s="66" t="n">
        <f aca="false">AA12-AC12-AD12-AE12</f>
        <v>33.5570469798658</v>
      </c>
      <c r="AG12" s="66" t="n">
        <f aca="false">AC12*$L$27/100+AD12*$L$30/100</f>
        <v>6.15539905662918</v>
      </c>
      <c r="AH12" s="52" t="n">
        <f aca="false">AC12*$J$27/100+AD12*$J$30/100+AF12*$J$28/100+AB12*$J$24/100</f>
        <v>30.7548800696417</v>
      </c>
      <c r="AI12" s="66" t="n">
        <f aca="false">AC12*$K$27/100+AD12*$K$30/100+AE12*$K$29/100+AF12*$K$28/100</f>
        <v>25.1702577864798</v>
      </c>
      <c r="AJ12" s="68" t="n">
        <f aca="false">Q12</f>
        <v>0</v>
      </c>
      <c r="AK12" s="68" t="n">
        <f aca="false">AG12</f>
        <v>6.15539905662918</v>
      </c>
      <c r="AL12" s="68" t="n">
        <f aca="false">SUM(R12,AH12)</f>
        <v>33.5736720159505</v>
      </c>
      <c r="AM12" s="68" t="n">
        <f aca="false">SUM(S12,AI12)</f>
        <v>25.1702577864798</v>
      </c>
      <c r="AN12" s="69" t="n">
        <v>1.68</v>
      </c>
      <c r="AO12" s="69" t="n">
        <v>8.75</v>
      </c>
      <c r="AP12" s="69" t="n">
        <v>39.88</v>
      </c>
      <c r="AQ12" s="70" t="n">
        <v>47.15</v>
      </c>
      <c r="AR12" s="71" t="n">
        <f aca="false">AN12-AJ12</f>
        <v>1.68</v>
      </c>
      <c r="AS12" s="72" t="n">
        <f aca="false">AO12-AK12</f>
        <v>2.59460094337082</v>
      </c>
      <c r="AT12" s="72" t="n">
        <f aca="false">AP12-AL12</f>
        <v>6.30632798404953</v>
      </c>
      <c r="AU12" s="73" t="n">
        <f aca="false">AQ12-AM12</f>
        <v>21.9797422135201</v>
      </c>
      <c r="AV12" s="74" t="n">
        <v>1.57</v>
      </c>
      <c r="AW12" s="74" t="n">
        <v>0.5</v>
      </c>
      <c r="AX12" s="74" t="n">
        <v>0.01</v>
      </c>
      <c r="AY12" s="74" t="n">
        <v>0.34</v>
      </c>
      <c r="AZ12" s="74" t="n">
        <v>0.01</v>
      </c>
      <c r="BA12" s="74" t="n">
        <v>0.11</v>
      </c>
      <c r="BB12" s="75" t="n">
        <f aca="false">SUM(AR12:BA12)</f>
        <v>35.1006711409405</v>
      </c>
      <c r="BC12" s="61"/>
      <c r="BE12" s="2"/>
    </row>
    <row r="13" customFormat="false" ht="12.8" hidden="false" customHeight="false" outlineLevel="0" collapsed="false">
      <c r="A13" s="47"/>
      <c r="B13" s="62" t="n">
        <v>1250</v>
      </c>
      <c r="C13" s="49" t="n">
        <v>10.43</v>
      </c>
      <c r="D13" s="49" t="n">
        <f aca="false">1.68/C13</f>
        <v>0.161073825503356</v>
      </c>
      <c r="E13" s="63" t="n">
        <f aca="false">SUM(F13:J13)</f>
        <v>16</v>
      </c>
      <c r="F13" s="63" t="n">
        <v>16</v>
      </c>
      <c r="G13" s="63" t="n">
        <v>0</v>
      </c>
      <c r="H13" s="63" t="n">
        <v>0</v>
      </c>
      <c r="I13" s="64" t="n">
        <v>0</v>
      </c>
      <c r="J13" s="64" t="n">
        <v>0</v>
      </c>
      <c r="K13" s="65" t="n">
        <f aca="false">E13*D13</f>
        <v>2.57718120805369</v>
      </c>
      <c r="L13" s="65" t="n">
        <f aca="false">F13*D13</f>
        <v>2.57718120805369</v>
      </c>
      <c r="M13" s="65" t="n">
        <f aca="false">G13*D13</f>
        <v>0</v>
      </c>
      <c r="N13" s="65" t="n">
        <f aca="false">H13*D13</f>
        <v>0</v>
      </c>
      <c r="O13" s="65" t="n">
        <f aca="false">I13*D13</f>
        <v>0</v>
      </c>
      <c r="P13" s="65" t="n">
        <f aca="false">K13-L13-M13-N13-O13</f>
        <v>0</v>
      </c>
      <c r="Q13" s="65" t="n">
        <f aca="false">N13*$I$26/100+M13*$I$25/100</f>
        <v>0</v>
      </c>
      <c r="R13" s="65" t="n">
        <f aca="false">L13*$J$24/100+M13*$J$25/100+N13*$J$26/100+P13*$J$28/100</f>
        <v>2.57718120805369</v>
      </c>
      <c r="S13" s="65" t="n">
        <f aca="false">M13*$K$25/100+N13*$K$26/100+O13*$K$29/100+P13*$K$28/100</f>
        <v>0</v>
      </c>
      <c r="T13" s="50" t="n">
        <f aca="false">8.75/C13</f>
        <v>0.838926174496644</v>
      </c>
      <c r="U13" s="50" t="n">
        <f aca="false">SUM(V13:Z13)</f>
        <v>71.9</v>
      </c>
      <c r="V13" s="63" t="n">
        <v>0</v>
      </c>
      <c r="W13" s="63" t="n">
        <v>0</v>
      </c>
      <c r="X13" s="63" t="n">
        <v>32.5</v>
      </c>
      <c r="Y13" s="63" t="n">
        <v>0</v>
      </c>
      <c r="Z13" s="63" t="n">
        <v>39.4</v>
      </c>
      <c r="AA13" s="66" t="n">
        <f aca="false">U13*T13</f>
        <v>60.3187919463087</v>
      </c>
      <c r="AB13" s="52" t="n">
        <f aca="false">V13*T13</f>
        <v>0</v>
      </c>
      <c r="AC13" s="66" t="n">
        <f aca="false">W13*T13</f>
        <v>0</v>
      </c>
      <c r="AD13" s="66" t="n">
        <f aca="false">X13*T13</f>
        <v>27.2651006711409</v>
      </c>
      <c r="AE13" s="67" t="n">
        <f aca="false">Y13*T13</f>
        <v>0</v>
      </c>
      <c r="AF13" s="66" t="n">
        <f aca="false">AA13-AC13-AD13-AE13</f>
        <v>33.0536912751678</v>
      </c>
      <c r="AG13" s="66" t="n">
        <f aca="false">AC13*$L$27/100+AD13*$L$30/100</f>
        <v>5.8838373335426</v>
      </c>
      <c r="AH13" s="52" t="n">
        <f aca="false">AC13*$J$27/100+AD13*$J$30/100+AF13*$J$28/100+AB13*$J$24/100</f>
        <v>30.0995530813689</v>
      </c>
      <c r="AI13" s="66" t="n">
        <f aca="false">AC13*$K$27/100+AD13*$K$30/100+AE13*$K$29/100+AF13*$K$28/100</f>
        <v>24.3354015313964</v>
      </c>
      <c r="AJ13" s="68" t="n">
        <f aca="false">Q13</f>
        <v>0</v>
      </c>
      <c r="AK13" s="68" t="n">
        <f aca="false">AG13</f>
        <v>5.8838373335426</v>
      </c>
      <c r="AL13" s="68" t="n">
        <f aca="false">SUM(R13,AH13)</f>
        <v>32.6767342894226</v>
      </c>
      <c r="AM13" s="68" t="n">
        <f aca="false">SUM(S13,AI13)</f>
        <v>24.3354015313964</v>
      </c>
      <c r="AN13" s="69" t="n">
        <v>1.68</v>
      </c>
      <c r="AO13" s="69" t="n">
        <v>8.75</v>
      </c>
      <c r="AP13" s="69" t="n">
        <v>39.88</v>
      </c>
      <c r="AQ13" s="70" t="n">
        <v>47.15</v>
      </c>
      <c r="AR13" s="71" t="n">
        <f aca="false">AN13-AJ13</f>
        <v>1.68</v>
      </c>
      <c r="AS13" s="72" t="n">
        <f aca="false">AO13-AK13</f>
        <v>2.8661626664574</v>
      </c>
      <c r="AT13" s="72" t="n">
        <f aca="false">AP13-AL13</f>
        <v>7.20326571057741</v>
      </c>
      <c r="AU13" s="73" t="n">
        <f aca="false">AQ13-AM13</f>
        <v>22.8145984686036</v>
      </c>
      <c r="AV13" s="74" t="n">
        <v>1.57</v>
      </c>
      <c r="AW13" s="74" t="n">
        <v>0.5</v>
      </c>
      <c r="AX13" s="74" t="n">
        <v>0.01</v>
      </c>
      <c r="AY13" s="74" t="n">
        <v>0.34</v>
      </c>
      <c r="AZ13" s="74" t="n">
        <v>0.01</v>
      </c>
      <c r="BA13" s="74" t="n">
        <v>0.11</v>
      </c>
      <c r="BB13" s="75" t="n">
        <f aca="false">SUM(AR13:BA13)</f>
        <v>37.1040268456385</v>
      </c>
      <c r="BC13" s="61"/>
      <c r="BE13" s="2"/>
      <c r="BF13" s="2"/>
    </row>
    <row r="14" customFormat="false" ht="12.8" hidden="false" customHeight="false" outlineLevel="0" collapsed="false">
      <c r="A14" s="47"/>
      <c r="B14" s="62" t="n">
        <v>1300</v>
      </c>
      <c r="C14" s="49" t="n">
        <v>10.43</v>
      </c>
      <c r="D14" s="49" t="n">
        <f aca="false">1.68/C14</f>
        <v>0.161073825503356</v>
      </c>
      <c r="E14" s="63" t="n">
        <f aca="false">SUM(F14:J14)</f>
        <v>14</v>
      </c>
      <c r="F14" s="63" t="n">
        <v>14</v>
      </c>
      <c r="G14" s="63" t="n">
        <v>0</v>
      </c>
      <c r="H14" s="63" t="n">
        <v>0</v>
      </c>
      <c r="I14" s="64" t="n">
        <v>0</v>
      </c>
      <c r="J14" s="64" t="n">
        <v>0</v>
      </c>
      <c r="K14" s="65" t="n">
        <f aca="false">E14*D14</f>
        <v>2.25503355704698</v>
      </c>
      <c r="L14" s="65" t="n">
        <f aca="false">F14*D14</f>
        <v>2.25503355704698</v>
      </c>
      <c r="M14" s="65" t="n">
        <f aca="false">G14*D14</f>
        <v>0</v>
      </c>
      <c r="N14" s="65" t="n">
        <f aca="false">H14*D14</f>
        <v>0</v>
      </c>
      <c r="O14" s="65" t="n">
        <f aca="false">I14*D14</f>
        <v>0</v>
      </c>
      <c r="P14" s="65" t="n">
        <f aca="false">K14-L14-M14-N14-O14</f>
        <v>0</v>
      </c>
      <c r="Q14" s="65" t="n">
        <f aca="false">N14*$I$26/100+M14*$I$25/100</f>
        <v>0</v>
      </c>
      <c r="R14" s="65" t="n">
        <f aca="false">L14*$J$24/100+M14*$J$25/100+N14*$J$26/100+P14*$J$28/100</f>
        <v>2.25503355704698</v>
      </c>
      <c r="S14" s="65" t="n">
        <f aca="false">M14*$K$25/100+N14*$K$26/100+O14*$K$29/100+P14*$K$28/100</f>
        <v>0</v>
      </c>
      <c r="T14" s="50" t="n">
        <f aca="false">8.75/C14</f>
        <v>0.838926174496644</v>
      </c>
      <c r="U14" s="50" t="n">
        <f aca="false">SUM(V14:Z14)</f>
        <v>70.2</v>
      </c>
      <c r="V14" s="63" t="n">
        <v>0</v>
      </c>
      <c r="W14" s="63" t="n">
        <v>0</v>
      </c>
      <c r="X14" s="63" t="n">
        <v>31</v>
      </c>
      <c r="Y14" s="63" t="n">
        <v>0</v>
      </c>
      <c r="Z14" s="63" t="n">
        <v>39.2</v>
      </c>
      <c r="AA14" s="66" t="n">
        <f aca="false">U14*T14</f>
        <v>58.8926174496644</v>
      </c>
      <c r="AB14" s="52" t="n">
        <f aca="false">V14*T14</f>
        <v>0</v>
      </c>
      <c r="AC14" s="66" t="n">
        <f aca="false">W14*T14</f>
        <v>0</v>
      </c>
      <c r="AD14" s="66" t="n">
        <f aca="false">X14*T14</f>
        <v>26.006711409396</v>
      </c>
      <c r="AE14" s="67" t="n">
        <f aca="false">Y14*T14</f>
        <v>0</v>
      </c>
      <c r="AF14" s="66" t="n">
        <f aca="false">AA14-AC14-AD14-AE14</f>
        <v>32.8859060402685</v>
      </c>
      <c r="AG14" s="66" t="n">
        <f aca="false">AC14*$L$27/100+AD14*$L$30/100</f>
        <v>5.61227561045602</v>
      </c>
      <c r="AH14" s="52" t="n">
        <f aca="false">AC14*$J$27/100+AD14*$J$30/100+AF14*$J$28/100+AB14*$J$24/100</f>
        <v>29.685147330502</v>
      </c>
      <c r="AI14" s="66" t="n">
        <f aca="false">AC14*$K$27/100+AD14*$K$30/100+AE14*$K$29/100+AF14*$K$28/100</f>
        <v>23.5951945087056</v>
      </c>
      <c r="AJ14" s="68" t="n">
        <f aca="false">Q14</f>
        <v>0</v>
      </c>
      <c r="AK14" s="68" t="n">
        <f aca="false">AG14</f>
        <v>5.61227561045602</v>
      </c>
      <c r="AL14" s="68" t="n">
        <f aca="false">SUM(R14,AH14)</f>
        <v>31.9401808875489</v>
      </c>
      <c r="AM14" s="68" t="n">
        <f aca="false">SUM(S14,AI14)</f>
        <v>23.5951945087056</v>
      </c>
      <c r="AN14" s="69" t="n">
        <v>1.68</v>
      </c>
      <c r="AO14" s="69" t="n">
        <v>8.75</v>
      </c>
      <c r="AP14" s="69" t="n">
        <v>39.88</v>
      </c>
      <c r="AQ14" s="70" t="n">
        <v>47.15</v>
      </c>
      <c r="AR14" s="71" t="n">
        <f aca="false">AN14-AJ14</f>
        <v>1.68</v>
      </c>
      <c r="AS14" s="72" t="n">
        <f aca="false">AO14-AK14</f>
        <v>3.13772438954398</v>
      </c>
      <c r="AT14" s="72" t="n">
        <f aca="false">AP14-AL14</f>
        <v>7.93981911245105</v>
      </c>
      <c r="AU14" s="73" t="n">
        <f aca="false">AQ14-AM14</f>
        <v>23.5548054912944</v>
      </c>
      <c r="AV14" s="74" t="n">
        <v>1.57</v>
      </c>
      <c r="AW14" s="74" t="n">
        <v>0.5</v>
      </c>
      <c r="AX14" s="74" t="n">
        <v>0.01</v>
      </c>
      <c r="AY14" s="74" t="n">
        <v>0.34</v>
      </c>
      <c r="AZ14" s="74" t="n">
        <v>0.01</v>
      </c>
      <c r="BA14" s="74" t="n">
        <v>0.11</v>
      </c>
      <c r="BB14" s="75" t="n">
        <f aca="false">SUM(AR14:BA14)</f>
        <v>38.8523489932894</v>
      </c>
      <c r="BC14" s="61"/>
    </row>
    <row r="15" customFormat="false" ht="12.8" hidden="false" customHeight="false" outlineLevel="0" collapsed="false">
      <c r="A15" s="47"/>
      <c r="B15" s="76" t="n">
        <v>1350</v>
      </c>
      <c r="C15" s="49" t="n">
        <v>10.43</v>
      </c>
      <c r="D15" s="49" t="n">
        <f aca="false">1.68/C15</f>
        <v>0.161073825503356</v>
      </c>
      <c r="E15" s="77" t="n">
        <f aca="false">SUM(F15:J15)</f>
        <v>12</v>
      </c>
      <c r="F15" s="77" t="n">
        <v>12</v>
      </c>
      <c r="G15" s="77" t="n">
        <v>0</v>
      </c>
      <c r="H15" s="77" t="n">
        <v>0</v>
      </c>
      <c r="I15" s="78" t="n">
        <v>0</v>
      </c>
      <c r="J15" s="78" t="n">
        <v>0</v>
      </c>
      <c r="K15" s="79" t="n">
        <f aca="false">E15*D15</f>
        <v>1.93288590604027</v>
      </c>
      <c r="L15" s="79" t="n">
        <f aca="false">F15*D15</f>
        <v>1.93288590604027</v>
      </c>
      <c r="M15" s="79" t="n">
        <f aca="false">G15*D15</f>
        <v>0</v>
      </c>
      <c r="N15" s="79" t="n">
        <f aca="false">H15*D15</f>
        <v>0</v>
      </c>
      <c r="O15" s="79" t="n">
        <f aca="false">I15*D15</f>
        <v>0</v>
      </c>
      <c r="P15" s="79" t="n">
        <f aca="false">K15-L15-M15-N15-O15</f>
        <v>0</v>
      </c>
      <c r="Q15" s="79" t="n">
        <f aca="false">N15*$I$26/100+M15*$I$25/100</f>
        <v>0</v>
      </c>
      <c r="R15" s="79" t="n">
        <f aca="false">L15*$J$24/100+M15*$J$25/100+N15*$J$26/100+P15*$J$28/100</f>
        <v>1.93288590604027</v>
      </c>
      <c r="S15" s="79" t="n">
        <f aca="false">M15*$K$25/100+N15*$K$26/100+O15*$K$29/100+P15*$K$28/100</f>
        <v>0</v>
      </c>
      <c r="T15" s="50" t="n">
        <f aca="false">8.75/C15</f>
        <v>0.838926174496644</v>
      </c>
      <c r="U15" s="50" t="n">
        <f aca="false">SUM(V15:Z15)</f>
        <v>32.5</v>
      </c>
      <c r="V15" s="77" t="n">
        <v>25</v>
      </c>
      <c r="W15" s="77" t="n">
        <v>0</v>
      </c>
      <c r="X15" s="77" t="n">
        <v>7.5</v>
      </c>
      <c r="Y15" s="77" t="n">
        <v>0</v>
      </c>
      <c r="Z15" s="77" t="n">
        <v>0</v>
      </c>
      <c r="AA15" s="80" t="n">
        <f aca="false">U15*T15</f>
        <v>27.2651006711409</v>
      </c>
      <c r="AB15" s="52" t="n">
        <f aca="false">V15*T15</f>
        <v>20.9731543624161</v>
      </c>
      <c r="AC15" s="80" t="n">
        <f aca="false">W15*T15</f>
        <v>0</v>
      </c>
      <c r="AD15" s="80" t="n">
        <f aca="false">X15*T15</f>
        <v>6.29194630872483</v>
      </c>
      <c r="AE15" s="81" t="n">
        <f aca="false">Y15*T15</f>
        <v>0</v>
      </c>
      <c r="AF15" s="80" t="n">
        <f aca="false">AA15-AC15-AD15-AE15</f>
        <v>20.9731543624161</v>
      </c>
      <c r="AG15" s="80" t="n">
        <f aca="false">AC15*$L$27/100+AD15*$L$30/100</f>
        <v>1.35780861543291</v>
      </c>
      <c r="AH15" s="52" t="n">
        <f aca="false">AC15*$J$27/100+AD15*$J$30/100+AF15*$J$28/100+AB15*$J$24/100</f>
        <v>37.5004573611057</v>
      </c>
      <c r="AI15" s="80" t="n">
        <f aca="false">AC15*$K$27/100+AD15*$K$30/100+AE15*$K$29/100+AF15*$K$28/100</f>
        <v>9.37998905701806</v>
      </c>
      <c r="AJ15" s="82" t="n">
        <f aca="false">Q15</f>
        <v>0</v>
      </c>
      <c r="AK15" s="82" t="n">
        <f aca="false">AG15</f>
        <v>1.35780861543291</v>
      </c>
      <c r="AL15" s="82" t="n">
        <f aca="false">SUM(R15,AH15)</f>
        <v>39.433343267146</v>
      </c>
      <c r="AM15" s="82" t="n">
        <f aca="false">SUM(S15,AI15)</f>
        <v>9.37998905701806</v>
      </c>
      <c r="AN15" s="83" t="n">
        <v>1.68</v>
      </c>
      <c r="AO15" s="83" t="n">
        <v>8.75</v>
      </c>
      <c r="AP15" s="83" t="n">
        <v>39.88</v>
      </c>
      <c r="AQ15" s="84" t="n">
        <v>47.15</v>
      </c>
      <c r="AR15" s="85" t="n">
        <f aca="false">AN15-AJ15</f>
        <v>1.68</v>
      </c>
      <c r="AS15" s="86" t="n">
        <f aca="false">AO15-AK15</f>
        <v>7.39219138456709</v>
      </c>
      <c r="AT15" s="86" t="n">
        <f aca="false">AP15-AL15</f>
        <v>0.446656732853988</v>
      </c>
      <c r="AU15" s="87" t="n">
        <f aca="false">AQ15-AM15</f>
        <v>37.7700109429819</v>
      </c>
      <c r="AV15" s="88" t="n">
        <v>1.57</v>
      </c>
      <c r="AW15" s="88" t="n">
        <v>0.5</v>
      </c>
      <c r="AX15" s="88" t="n">
        <v>0.01</v>
      </c>
      <c r="AY15" s="88" t="n">
        <v>0.34</v>
      </c>
      <c r="AZ15" s="88" t="n">
        <v>0.01</v>
      </c>
      <c r="BA15" s="88" t="n">
        <v>0.11</v>
      </c>
      <c r="BB15" s="89" t="n">
        <f aca="false">SUM(AR15:BA15)</f>
        <v>49.828859060403</v>
      </c>
      <c r="BC15" s="61"/>
    </row>
    <row r="16" customFormat="false" ht="13.5" hidden="false" customHeight="true" outlineLevel="0" collapsed="false">
      <c r="A16" s="90" t="s">
        <v>36</v>
      </c>
      <c r="B16" s="62" t="n">
        <v>1100</v>
      </c>
      <c r="C16" s="62" t="n">
        <v>5.46</v>
      </c>
      <c r="D16" s="69" t="n">
        <f aca="false">1.7/C16</f>
        <v>0.311355311355311</v>
      </c>
      <c r="E16" s="63" t="n">
        <f aca="false">SUM(F16:J16)</f>
        <v>27</v>
      </c>
      <c r="F16" s="63" t="n">
        <v>0</v>
      </c>
      <c r="G16" s="63" t="n">
        <v>0</v>
      </c>
      <c r="H16" s="63" t="n">
        <v>0</v>
      </c>
      <c r="I16" s="63" t="n">
        <v>4</v>
      </c>
      <c r="J16" s="63" t="n">
        <v>23</v>
      </c>
      <c r="K16" s="65" t="n">
        <f aca="false">E16*D16</f>
        <v>8.40659340659341</v>
      </c>
      <c r="L16" s="65" t="n">
        <f aca="false">F16*D16</f>
        <v>0</v>
      </c>
      <c r="M16" s="65" t="n">
        <f aca="false">G16*D16</f>
        <v>0</v>
      </c>
      <c r="N16" s="65" t="n">
        <f aca="false">H16*D16</f>
        <v>0</v>
      </c>
      <c r="O16" s="65" t="n">
        <f aca="false">I16*D16</f>
        <v>1.24542124542125</v>
      </c>
      <c r="P16" s="65" t="n">
        <f aca="false">K16-L16-M16-N16-O16</f>
        <v>7.16117216117216</v>
      </c>
      <c r="Q16" s="65" t="n">
        <f aca="false">N16*$I$26/100+M16*$I$25/100</f>
        <v>0</v>
      </c>
      <c r="R16" s="65" t="n">
        <f aca="false">L16*$J$24/100+M16*$J$25/100+N16*$J$26/100+P16*$J$28/100</f>
        <v>5.14132980587226</v>
      </c>
      <c r="S16" s="65" t="n">
        <f aca="false">M16*$K$25/100+N16*$K$26/100+O16*$K$29/100+P16*$K$28/100</f>
        <v>3.26526360072108</v>
      </c>
      <c r="T16" s="63" t="n">
        <f aca="false">3.76/C16</f>
        <v>0.688644688644689</v>
      </c>
      <c r="U16" s="50" t="n">
        <f aca="false">SUM(V16:Z16)</f>
        <v>34</v>
      </c>
      <c r="V16" s="63" t="n">
        <v>0</v>
      </c>
      <c r="W16" s="63" t="n">
        <v>0</v>
      </c>
      <c r="X16" s="63" t="n">
        <v>0</v>
      </c>
      <c r="Y16" s="64" t="n">
        <v>11</v>
      </c>
      <c r="Z16" s="64" t="n">
        <v>23</v>
      </c>
      <c r="AA16" s="66" t="n">
        <f aca="false">U16*T16</f>
        <v>23.4139194139194</v>
      </c>
      <c r="AB16" s="52" t="n">
        <f aca="false">V16*T16</f>
        <v>0</v>
      </c>
      <c r="AC16" s="66" t="n">
        <f aca="false">W16*T16</f>
        <v>0</v>
      </c>
      <c r="AD16" s="66" t="n">
        <f aca="false">X16*T16</f>
        <v>0</v>
      </c>
      <c r="AE16" s="67" t="n">
        <f aca="false">Y16*T16</f>
        <v>7.57509157509158</v>
      </c>
      <c r="AF16" s="66" t="n">
        <f aca="false">AA16-AC16-AD16-AE16</f>
        <v>15.8388278388278</v>
      </c>
      <c r="AG16" s="66" t="n">
        <f aca="false">AC16*$L$27/100+AD16*$L$30/100</f>
        <v>0</v>
      </c>
      <c r="AH16" s="52" t="n">
        <f aca="false">AC16*$J$27/100+AD16*$J$30/100+AF16*$J$28/100+AB16*$J$24/100</f>
        <v>11.3714118059292</v>
      </c>
      <c r="AI16" s="66" t="n">
        <f aca="false">AC16*$K$27/100+AD16*$K$30/100+AE16*$K$29/100+AF16*$K$28/100</f>
        <v>12.04250760799</v>
      </c>
      <c r="AJ16" s="68" t="n">
        <f aca="false">Q16</f>
        <v>0</v>
      </c>
      <c r="AK16" s="68" t="n">
        <f aca="false">AG16</f>
        <v>0</v>
      </c>
      <c r="AL16" s="68" t="n">
        <f aca="false">SUM(R16,AH16)</f>
        <v>16.5127416118015</v>
      </c>
      <c r="AM16" s="68" t="n">
        <f aca="false">SUM(S16,AI16)</f>
        <v>15.3077712087111</v>
      </c>
      <c r="AN16" s="69" t="n">
        <v>1.63</v>
      </c>
      <c r="AO16" s="69" t="n">
        <v>3.62</v>
      </c>
      <c r="AP16" s="69" t="n">
        <v>23.09</v>
      </c>
      <c r="AQ16" s="70" t="n">
        <v>67.75</v>
      </c>
      <c r="AR16" s="91" t="n">
        <f aca="false">AN16-AJ16</f>
        <v>1.63</v>
      </c>
      <c r="AS16" s="92" t="n">
        <f aca="false">AO16-AK16</f>
        <v>3.62</v>
      </c>
      <c r="AT16" s="92" t="n">
        <f aca="false">AP16-AL16</f>
        <v>6.57725838819851</v>
      </c>
      <c r="AU16" s="93" t="n">
        <f aca="false">AQ16-AM16</f>
        <v>52.4422287912889</v>
      </c>
      <c r="AV16" s="94" t="n">
        <v>0.65</v>
      </c>
      <c r="AW16" s="94" t="n">
        <v>0.51</v>
      </c>
      <c r="AX16" s="94" t="n">
        <v>0</v>
      </c>
      <c r="AY16" s="94" t="n">
        <v>0.71</v>
      </c>
      <c r="AZ16" s="94" t="n">
        <v>1.17</v>
      </c>
      <c r="BA16" s="94" t="n">
        <v>0</v>
      </c>
      <c r="BB16" s="95" t="n">
        <f aca="false">SUM(AR16:BA16)</f>
        <v>67.3094871794874</v>
      </c>
      <c r="BC16" s="61"/>
    </row>
    <row r="17" customFormat="false" ht="13.5" hidden="false" customHeight="true" outlineLevel="0" collapsed="false">
      <c r="A17" s="90"/>
      <c r="B17" s="62" t="n">
        <v>1150</v>
      </c>
      <c r="C17" s="62" t="n">
        <v>5.46</v>
      </c>
      <c r="D17" s="69" t="n">
        <f aca="false">1.7/C17</f>
        <v>0.311355311355311</v>
      </c>
      <c r="E17" s="63" t="n">
        <f aca="false">SUM(F17:J17)</f>
        <v>22.6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22.6</v>
      </c>
      <c r="K17" s="65" t="n">
        <f aca="false">E17*D17</f>
        <v>7.03663003663004</v>
      </c>
      <c r="L17" s="65" t="n">
        <f aca="false">F17*D17</f>
        <v>0</v>
      </c>
      <c r="M17" s="65" t="n">
        <f aca="false">G17*D17</f>
        <v>0</v>
      </c>
      <c r="N17" s="65" t="n">
        <f aca="false">H17*D17</f>
        <v>0</v>
      </c>
      <c r="O17" s="65" t="n">
        <f aca="false">I17*D17</f>
        <v>0</v>
      </c>
      <c r="P17" s="65" t="n">
        <f aca="false">K17-L17-M17-N17-O17</f>
        <v>7.03663003663004</v>
      </c>
      <c r="Q17" s="65" t="n">
        <f aca="false">N17*$I$26/100+M17*$I$25/100</f>
        <v>0</v>
      </c>
      <c r="R17" s="65" t="n">
        <f aca="false">L17*$J$24/100+M17*$J$25/100+N17*$J$26/100+P17*$J$28/100</f>
        <v>5.05191537446579</v>
      </c>
      <c r="S17" s="65" t="n">
        <f aca="false">M17*$K$25/100+N17*$K$26/100+O17*$K$29/100+P17*$K$28/100</f>
        <v>1.98471466216418</v>
      </c>
      <c r="T17" s="63" t="n">
        <f aca="false">3.76/C17</f>
        <v>0.688644688644689</v>
      </c>
      <c r="U17" s="50" t="n">
        <f aca="false">SUM(V17:Z17)</f>
        <v>29.6</v>
      </c>
      <c r="V17" s="63" t="n">
        <v>0</v>
      </c>
      <c r="W17" s="63" t="n">
        <v>0</v>
      </c>
      <c r="X17" s="63" t="n">
        <v>0</v>
      </c>
      <c r="Y17" s="64" t="n">
        <v>7</v>
      </c>
      <c r="Z17" s="64" t="n">
        <v>22.6</v>
      </c>
      <c r="AA17" s="66" t="n">
        <f aca="false">U17*T17</f>
        <v>20.3838827838828</v>
      </c>
      <c r="AB17" s="52" t="n">
        <f aca="false">V17*T17</f>
        <v>0</v>
      </c>
      <c r="AC17" s="66" t="n">
        <f aca="false">W17*T17</f>
        <v>0</v>
      </c>
      <c r="AD17" s="66" t="n">
        <f aca="false">X17*T17</f>
        <v>0</v>
      </c>
      <c r="AE17" s="67" t="n">
        <f aca="false">Y17*T17</f>
        <v>4.82051282051282</v>
      </c>
      <c r="AF17" s="66" t="n">
        <f aca="false">AA17-AC17-AD17-AE17</f>
        <v>15.56336996337</v>
      </c>
      <c r="AG17" s="66" t="n">
        <f aca="false">AC17*$L$27/100+AD17*$L$30/100</f>
        <v>0</v>
      </c>
      <c r="AH17" s="52" t="n">
        <f aca="false">AC17*$J$27/100+AD17*$J$30/100+AF17*$J$28/100+AB17*$J$24/100</f>
        <v>11.1736481223479</v>
      </c>
      <c r="AI17" s="66" t="n">
        <f aca="false">AC17*$K$27/100+AD17*$K$30/100+AE17*$K$29/100+AF17*$K$28/100</f>
        <v>9.21023466153478</v>
      </c>
      <c r="AJ17" s="68" t="n">
        <f aca="false">Q17</f>
        <v>0</v>
      </c>
      <c r="AK17" s="68" t="n">
        <f aca="false">AG17</f>
        <v>0</v>
      </c>
      <c r="AL17" s="68" t="n">
        <f aca="false">SUM(R17,AH17)</f>
        <v>16.2255634968136</v>
      </c>
      <c r="AM17" s="68" t="n">
        <f aca="false">SUM(S17,AI17)</f>
        <v>11.194949323699</v>
      </c>
      <c r="AN17" s="69" t="n">
        <v>1.63</v>
      </c>
      <c r="AO17" s="69" t="n">
        <v>3.62</v>
      </c>
      <c r="AP17" s="69" t="n">
        <v>23.09</v>
      </c>
      <c r="AQ17" s="70" t="n">
        <v>67.75</v>
      </c>
      <c r="AR17" s="71" t="n">
        <f aca="false">AN17-AJ17</f>
        <v>1.63</v>
      </c>
      <c r="AS17" s="72" t="n">
        <f aca="false">AO17-AK17</f>
        <v>3.62</v>
      </c>
      <c r="AT17" s="72" t="n">
        <f aca="false">AP17-AL17</f>
        <v>6.86443650318636</v>
      </c>
      <c r="AU17" s="73" t="n">
        <f aca="false">AQ17-AM17</f>
        <v>56.555050676301</v>
      </c>
      <c r="AV17" s="94" t="n">
        <v>0.65</v>
      </c>
      <c r="AW17" s="94" t="n">
        <v>0.51</v>
      </c>
      <c r="AX17" s="94" t="n">
        <v>0</v>
      </c>
      <c r="AY17" s="94" t="n">
        <v>0.71</v>
      </c>
      <c r="AZ17" s="94" t="n">
        <v>1.17</v>
      </c>
      <c r="BA17" s="94" t="n">
        <v>0</v>
      </c>
      <c r="BB17" s="75" t="n">
        <f aca="false">SUM(AR17:BA17)</f>
        <v>71.7094871794874</v>
      </c>
      <c r="BC17" s="61"/>
    </row>
    <row r="18" customFormat="false" ht="13.5" hidden="false" customHeight="true" outlineLevel="0" collapsed="false">
      <c r="A18" s="90"/>
      <c r="B18" s="62" t="n">
        <v>1200</v>
      </c>
      <c r="C18" s="62" t="n">
        <v>5.46</v>
      </c>
      <c r="D18" s="69" t="n">
        <f aca="false">1.7/C18</f>
        <v>0.311355311355311</v>
      </c>
      <c r="E18" s="63" t="n">
        <f aca="false">SUM(F18:J18)</f>
        <v>22.2</v>
      </c>
      <c r="F18" s="63" t="n">
        <v>0</v>
      </c>
      <c r="G18" s="63" t="n">
        <v>0</v>
      </c>
      <c r="H18" s="63" t="n">
        <v>0</v>
      </c>
      <c r="I18" s="63" t="n">
        <v>0</v>
      </c>
      <c r="J18" s="63" t="n">
        <v>22.2</v>
      </c>
      <c r="K18" s="65" t="n">
        <f aca="false">E18*D18</f>
        <v>6.91208791208791</v>
      </c>
      <c r="L18" s="65" t="n">
        <f aca="false">F18*D18</f>
        <v>0</v>
      </c>
      <c r="M18" s="65" t="n">
        <f aca="false">G18*D18</f>
        <v>0</v>
      </c>
      <c r="N18" s="65" t="n">
        <f aca="false">H18*D18</f>
        <v>0</v>
      </c>
      <c r="O18" s="65" t="n">
        <f aca="false">I18*D18</f>
        <v>0</v>
      </c>
      <c r="P18" s="65" t="n">
        <f aca="false">K18-L18-M18-N18-O18</f>
        <v>6.91208791208791</v>
      </c>
      <c r="Q18" s="65" t="n">
        <f aca="false">N18*$I$26/100+M18*$I$25/100</f>
        <v>0</v>
      </c>
      <c r="R18" s="65" t="n">
        <f aca="false">L18*$J$24/100+M18*$J$25/100+N18*$J$26/100+P18*$J$28/100</f>
        <v>4.96250094305931</v>
      </c>
      <c r="S18" s="65" t="n">
        <f aca="false">M18*$K$25/100+N18*$K$26/100+O18*$K$29/100+P18*$K$28/100</f>
        <v>1.94958696902853</v>
      </c>
      <c r="T18" s="63" t="n">
        <f aca="false">3.76/C18</f>
        <v>0.688644688644689</v>
      </c>
      <c r="U18" s="50" t="n">
        <f aca="false">SUM(V18:Z18)</f>
        <v>26.2</v>
      </c>
      <c r="V18" s="63" t="n">
        <v>0</v>
      </c>
      <c r="W18" s="63" t="n">
        <v>0</v>
      </c>
      <c r="X18" s="63" t="n">
        <v>0</v>
      </c>
      <c r="Y18" s="64" t="n">
        <v>4</v>
      </c>
      <c r="Z18" s="64" t="n">
        <v>22.2</v>
      </c>
      <c r="AA18" s="66" t="n">
        <f aca="false">U18*T18</f>
        <v>18.0424908424908</v>
      </c>
      <c r="AB18" s="52" t="n">
        <f aca="false">V18*T18</f>
        <v>0</v>
      </c>
      <c r="AC18" s="66" t="n">
        <f aca="false">W18*T18</f>
        <v>0</v>
      </c>
      <c r="AD18" s="66" t="n">
        <f aca="false">X18*T18</f>
        <v>0</v>
      </c>
      <c r="AE18" s="67" t="n">
        <f aca="false">Y18*T18</f>
        <v>2.75457875457875</v>
      </c>
      <c r="AF18" s="66" t="n">
        <f aca="false">AA18-AC18-AD18-AE18</f>
        <v>15.2879120879121</v>
      </c>
      <c r="AG18" s="66" t="n">
        <f aca="false">AC18*$L$27/100+AD18*$L$30/100</f>
        <v>0</v>
      </c>
      <c r="AH18" s="52" t="n">
        <f aca="false">AC18*$J$27/100+AD18*$J$30/100+AF18*$J$28/100+AB18*$J$24/100</f>
        <v>10.9758844387665</v>
      </c>
      <c r="AI18" s="66" t="n">
        <f aca="false">AC18*$K$27/100+AD18*$K$30/100+AE18*$K$29/100+AF18*$K$28/100</f>
        <v>7.06660640372421</v>
      </c>
      <c r="AJ18" s="68" t="n">
        <f aca="false">Q18</f>
        <v>0</v>
      </c>
      <c r="AK18" s="68" t="n">
        <f aca="false">AG18</f>
        <v>0</v>
      </c>
      <c r="AL18" s="68" t="n">
        <f aca="false">SUM(R18,AH18)</f>
        <v>15.9383853818258</v>
      </c>
      <c r="AM18" s="68" t="n">
        <f aca="false">SUM(S18,AI18)</f>
        <v>9.01619337275275</v>
      </c>
      <c r="AN18" s="69" t="n">
        <v>1.63</v>
      </c>
      <c r="AO18" s="69" t="n">
        <v>3.62</v>
      </c>
      <c r="AP18" s="69" t="n">
        <v>23.09</v>
      </c>
      <c r="AQ18" s="70" t="n">
        <v>67.75</v>
      </c>
      <c r="AR18" s="71" t="n">
        <f aca="false">AN18-AJ18</f>
        <v>1.63</v>
      </c>
      <c r="AS18" s="72" t="n">
        <f aca="false">AO18-AK18</f>
        <v>3.62</v>
      </c>
      <c r="AT18" s="72" t="n">
        <f aca="false">AP18-AL18</f>
        <v>7.15161461817421</v>
      </c>
      <c r="AU18" s="73" t="n">
        <f aca="false">AQ18-AM18</f>
        <v>58.7338066272473</v>
      </c>
      <c r="AV18" s="94" t="n">
        <v>0.65</v>
      </c>
      <c r="AW18" s="94" t="n">
        <v>0.51</v>
      </c>
      <c r="AX18" s="94" t="n">
        <v>0</v>
      </c>
      <c r="AY18" s="94" t="n">
        <v>0.71</v>
      </c>
      <c r="AZ18" s="94" t="n">
        <v>1.17</v>
      </c>
      <c r="BA18" s="94" t="n">
        <v>0</v>
      </c>
      <c r="BB18" s="75" t="n">
        <f aca="false">SUM(AR18:BA18)</f>
        <v>74.1754212454215</v>
      </c>
      <c r="BC18" s="61"/>
    </row>
    <row r="19" customFormat="false" ht="13.5" hidden="false" customHeight="true" outlineLevel="0" collapsed="false">
      <c r="A19" s="90"/>
      <c r="B19" s="62" t="n">
        <v>1250</v>
      </c>
      <c r="C19" s="62" t="n">
        <v>5.46</v>
      </c>
      <c r="D19" s="69" t="n">
        <f aca="false">1.7/C19</f>
        <v>0.311355311355311</v>
      </c>
      <c r="E19" s="63" t="n">
        <f aca="false">SUM(F19:J19)</f>
        <v>22</v>
      </c>
      <c r="F19" s="63" t="n">
        <v>0</v>
      </c>
      <c r="G19" s="63" t="n">
        <v>0</v>
      </c>
      <c r="H19" s="63" t="n">
        <v>0</v>
      </c>
      <c r="I19" s="63" t="n">
        <v>0</v>
      </c>
      <c r="J19" s="63" t="n">
        <v>22</v>
      </c>
      <c r="K19" s="65" t="n">
        <f aca="false">E19*D19</f>
        <v>6.84981684981685</v>
      </c>
      <c r="L19" s="65" t="n">
        <f aca="false">F19*D19</f>
        <v>0</v>
      </c>
      <c r="M19" s="65" t="n">
        <f aca="false">G19*D19</f>
        <v>0</v>
      </c>
      <c r="N19" s="65" t="n">
        <f aca="false">H19*D19</f>
        <v>0</v>
      </c>
      <c r="O19" s="65" t="n">
        <f aca="false">I19*D19</f>
        <v>0</v>
      </c>
      <c r="P19" s="65" t="n">
        <f aca="false">K19-L19-M19-N19-O19</f>
        <v>6.84981684981685</v>
      </c>
      <c r="Q19" s="65" t="n">
        <f aca="false">N19*$I$26/100+M19*$I$25/100</f>
        <v>0</v>
      </c>
      <c r="R19" s="65" t="n">
        <f aca="false">L19*$J$24/100+M19*$J$25/100+N19*$J$26/100+P19*$J$28/100</f>
        <v>4.91779372735607</v>
      </c>
      <c r="S19" s="65" t="n">
        <f aca="false">M19*$K$25/100+N19*$K$26/100+O19*$K$29/100+P19*$K$28/100</f>
        <v>1.93202312246071</v>
      </c>
      <c r="T19" s="63" t="n">
        <f aca="false">3.76/C19</f>
        <v>0.688644688644689</v>
      </c>
      <c r="U19" s="50" t="n">
        <f aca="false">SUM(V19:Z19)</f>
        <v>22</v>
      </c>
      <c r="V19" s="63" t="n">
        <v>0</v>
      </c>
      <c r="W19" s="63" t="n">
        <v>0</v>
      </c>
      <c r="X19" s="63" t="n">
        <v>0</v>
      </c>
      <c r="Y19" s="64" t="n">
        <v>0</v>
      </c>
      <c r="Z19" s="64" t="n">
        <v>22</v>
      </c>
      <c r="AA19" s="66" t="n">
        <f aca="false">U19*T19</f>
        <v>15.1501831501832</v>
      </c>
      <c r="AB19" s="52" t="n">
        <f aca="false">V19*T19</f>
        <v>0</v>
      </c>
      <c r="AC19" s="66" t="n">
        <f aca="false">W19*T19</f>
        <v>0</v>
      </c>
      <c r="AD19" s="66" t="n">
        <f aca="false">X19*T19</f>
        <v>0</v>
      </c>
      <c r="AE19" s="67" t="n">
        <f aca="false">Y19*T19</f>
        <v>0</v>
      </c>
      <c r="AF19" s="66" t="n">
        <f aca="false">AA19-AC19-AD19-AE19</f>
        <v>15.1501831501832</v>
      </c>
      <c r="AG19" s="66" t="n">
        <f aca="false">AC19*$L$27/100+AD19*$L$30/100</f>
        <v>0</v>
      </c>
      <c r="AH19" s="52" t="n">
        <f aca="false">AC19*$J$27/100+AD19*$J$30/100+AF19*$J$28/100+AB19*$J$24/100</f>
        <v>10.8770025969758</v>
      </c>
      <c r="AI19" s="66" t="n">
        <f aca="false">AC19*$K$27/100+AD19*$K$30/100+AE19*$K$29/100+AF19*$K$28/100</f>
        <v>4.27318055320721</v>
      </c>
      <c r="AJ19" s="68" t="n">
        <f aca="false">Q19</f>
        <v>0</v>
      </c>
      <c r="AK19" s="68" t="n">
        <f aca="false">AG19</f>
        <v>0</v>
      </c>
      <c r="AL19" s="68" t="n">
        <f aca="false">SUM(R19,AH19)</f>
        <v>15.7947963243319</v>
      </c>
      <c r="AM19" s="68" t="n">
        <f aca="false">SUM(S19,AI19)</f>
        <v>6.20520367566792</v>
      </c>
      <c r="AN19" s="69" t="n">
        <v>1.63</v>
      </c>
      <c r="AO19" s="69" t="n">
        <v>3.62</v>
      </c>
      <c r="AP19" s="69" t="n">
        <v>23.09</v>
      </c>
      <c r="AQ19" s="70" t="n">
        <v>67.75</v>
      </c>
      <c r="AR19" s="71" t="n">
        <f aca="false">AN19-AJ19</f>
        <v>1.63</v>
      </c>
      <c r="AS19" s="72" t="n">
        <f aca="false">AO19-AK19</f>
        <v>3.62</v>
      </c>
      <c r="AT19" s="72" t="n">
        <f aca="false">AP19-AL19</f>
        <v>7.29520367566814</v>
      </c>
      <c r="AU19" s="73" t="n">
        <f aca="false">AQ19-AM19</f>
        <v>61.5447963243321</v>
      </c>
      <c r="AV19" s="94" t="n">
        <v>0.65</v>
      </c>
      <c r="AW19" s="94" t="n">
        <v>0.51</v>
      </c>
      <c r="AX19" s="94" t="n">
        <v>0</v>
      </c>
      <c r="AY19" s="94" t="n">
        <v>0.71</v>
      </c>
      <c r="AZ19" s="94" t="n">
        <v>1.17</v>
      </c>
      <c r="BA19" s="94" t="n">
        <v>0</v>
      </c>
      <c r="BB19" s="75" t="n">
        <f aca="false">SUM(AR19:BA19)</f>
        <v>77.1300000000002</v>
      </c>
      <c r="BC19" s="61"/>
    </row>
    <row r="20" customFormat="false" ht="12.8" hidden="false" customHeight="false" outlineLevel="0" collapsed="false">
      <c r="A20" s="90"/>
      <c r="B20" s="62" t="n">
        <v>1300</v>
      </c>
      <c r="C20" s="62" t="n">
        <v>5.46</v>
      </c>
      <c r="D20" s="69" t="n">
        <f aca="false">1.7/C20</f>
        <v>0.311355311355311</v>
      </c>
      <c r="E20" s="63" t="n">
        <f aca="false">SUM(F20:J20)</f>
        <v>19</v>
      </c>
      <c r="F20" s="63" t="n">
        <v>0</v>
      </c>
      <c r="G20" s="63" t="n">
        <v>0</v>
      </c>
      <c r="H20" s="63" t="n">
        <v>0</v>
      </c>
      <c r="I20" s="63" t="n">
        <v>0</v>
      </c>
      <c r="J20" s="63" t="n">
        <v>19</v>
      </c>
      <c r="K20" s="65" t="n">
        <f aca="false">E20*D20</f>
        <v>5.91575091575092</v>
      </c>
      <c r="L20" s="65" t="n">
        <f aca="false">F20*D20</f>
        <v>0</v>
      </c>
      <c r="M20" s="65" t="n">
        <f aca="false">G20*D20</f>
        <v>0</v>
      </c>
      <c r="N20" s="65" t="n">
        <f aca="false">H20*D20</f>
        <v>0</v>
      </c>
      <c r="O20" s="65" t="n">
        <f aca="false">I20*D20</f>
        <v>0</v>
      </c>
      <c r="P20" s="65" t="n">
        <f aca="false">K20-L20-M20-N20-O20</f>
        <v>5.91575091575092</v>
      </c>
      <c r="Q20" s="65" t="n">
        <f aca="false">N20*$I$26/100+M20*$I$25/100</f>
        <v>0</v>
      </c>
      <c r="R20" s="65" t="n">
        <f aca="false">L20*$J$24/100+M20*$J$25/100+N20*$J$26/100+P20*$J$28/100</f>
        <v>4.24718549180752</v>
      </c>
      <c r="S20" s="65" t="n">
        <f aca="false">M20*$K$25/100+N20*$K$26/100+O20*$K$29/100+P20*$K$28/100</f>
        <v>1.66856542394334</v>
      </c>
      <c r="T20" s="63" t="n">
        <f aca="false">3.76/C20</f>
        <v>0.688644688644689</v>
      </c>
      <c r="U20" s="50" t="n">
        <f aca="false">SUM(V20:Z20)</f>
        <v>19</v>
      </c>
      <c r="V20" s="63" t="n">
        <v>0</v>
      </c>
      <c r="W20" s="63" t="n">
        <v>0</v>
      </c>
      <c r="X20" s="63" t="n">
        <v>0</v>
      </c>
      <c r="Y20" s="64" t="n">
        <v>0</v>
      </c>
      <c r="Z20" s="64" t="n">
        <v>19</v>
      </c>
      <c r="AA20" s="66" t="n">
        <f aca="false">U20*T20</f>
        <v>13.0842490842491</v>
      </c>
      <c r="AB20" s="52" t="n">
        <f aca="false">V20*T20</f>
        <v>0</v>
      </c>
      <c r="AC20" s="66" t="n">
        <f aca="false">W20*T20</f>
        <v>0</v>
      </c>
      <c r="AD20" s="66" t="n">
        <f aca="false">X20*T20</f>
        <v>0</v>
      </c>
      <c r="AE20" s="67" t="n">
        <f aca="false">Y20*T20</f>
        <v>0</v>
      </c>
      <c r="AF20" s="66" t="n">
        <f aca="false">AA20-AC20-AD20-AE20</f>
        <v>13.0842490842491</v>
      </c>
      <c r="AG20" s="66" t="n">
        <f aca="false">AC20*$L$27/100+AD20*$L$30/100</f>
        <v>0</v>
      </c>
      <c r="AH20" s="52" t="n">
        <f aca="false">AC20*$J$27/100+AD20*$J$30/100+AF20*$J$28/100+AB20*$J$24/100</f>
        <v>9.39377497011545</v>
      </c>
      <c r="AI20" s="66" t="n">
        <f aca="false">AC20*$K$27/100+AD20*$K$30/100+AE20*$K$29/100+AF20*$K$28/100</f>
        <v>3.6904741141335</v>
      </c>
      <c r="AJ20" s="68" t="n">
        <f aca="false">Q20</f>
        <v>0</v>
      </c>
      <c r="AK20" s="68" t="n">
        <f aca="false">AG20</f>
        <v>0</v>
      </c>
      <c r="AL20" s="68" t="n">
        <f aca="false">SUM(R20,AH20)</f>
        <v>13.640960461923</v>
      </c>
      <c r="AM20" s="68" t="n">
        <f aca="false">SUM(S20,AI20)</f>
        <v>5.35903953807684</v>
      </c>
      <c r="AN20" s="69" t="n">
        <v>1.63</v>
      </c>
      <c r="AO20" s="69" t="n">
        <v>3.62</v>
      </c>
      <c r="AP20" s="69" t="n">
        <v>23.09</v>
      </c>
      <c r="AQ20" s="70" t="n">
        <v>67.75</v>
      </c>
      <c r="AR20" s="71" t="n">
        <f aca="false">AN20-AJ20</f>
        <v>1.63</v>
      </c>
      <c r="AS20" s="72" t="n">
        <f aca="false">AO20-AK20</f>
        <v>3.62</v>
      </c>
      <c r="AT20" s="72" t="n">
        <f aca="false">AP20-AL20</f>
        <v>9.44903953807703</v>
      </c>
      <c r="AU20" s="73" t="n">
        <f aca="false">AQ20-AM20</f>
        <v>62.3909604619232</v>
      </c>
      <c r="AV20" s="94" t="n">
        <v>0.65</v>
      </c>
      <c r="AW20" s="94" t="n">
        <v>0.51</v>
      </c>
      <c r="AX20" s="94" t="n">
        <v>0</v>
      </c>
      <c r="AY20" s="94" t="n">
        <v>0.71</v>
      </c>
      <c r="AZ20" s="94" t="n">
        <v>1.17</v>
      </c>
      <c r="BA20" s="94" t="n">
        <v>0</v>
      </c>
      <c r="BB20" s="75" t="n">
        <f aca="false">SUM(AR20:BA20)</f>
        <v>80.1300000000002</v>
      </c>
      <c r="BC20" s="61"/>
    </row>
    <row r="21" customFormat="false" ht="12.8" hidden="false" customHeight="false" outlineLevel="0" collapsed="false">
      <c r="A21" s="90"/>
      <c r="B21" s="62" t="n">
        <v>1350</v>
      </c>
      <c r="C21" s="62" t="n">
        <v>5.46</v>
      </c>
      <c r="D21" s="69" t="n">
        <f aca="false">1.7/C21</f>
        <v>0.311355311355311</v>
      </c>
      <c r="E21" s="63" t="n">
        <f aca="false">SUM(F21:J21)</f>
        <v>17</v>
      </c>
      <c r="F21" s="50" t="n">
        <v>0</v>
      </c>
      <c r="G21" s="63" t="n">
        <v>0</v>
      </c>
      <c r="H21" s="63" t="n">
        <v>0</v>
      </c>
      <c r="I21" s="50" t="n">
        <v>0</v>
      </c>
      <c r="J21" s="63" t="n">
        <v>17</v>
      </c>
      <c r="K21" s="65" t="n">
        <f aca="false">E21*D21</f>
        <v>5.29304029304029</v>
      </c>
      <c r="L21" s="65" t="n">
        <f aca="false">F21*D21</f>
        <v>0</v>
      </c>
      <c r="M21" s="65" t="n">
        <f aca="false">G21*D21</f>
        <v>0</v>
      </c>
      <c r="N21" s="65" t="n">
        <f aca="false">H21*D21</f>
        <v>0</v>
      </c>
      <c r="O21" s="65" t="n">
        <f aca="false">I21*D21</f>
        <v>0</v>
      </c>
      <c r="P21" s="65" t="n">
        <f aca="false">K21-L21-M21-N21-O21</f>
        <v>5.29304029304029</v>
      </c>
      <c r="Q21" s="65" t="n">
        <f aca="false">N21*$I$26/100+M21*$I$25/100</f>
        <v>0</v>
      </c>
      <c r="R21" s="65" t="n">
        <f aca="false">L21*$J$24/100+M21*$J$25/100+N21*$J$26/100+P21*$J$28/100</f>
        <v>3.80011333477515</v>
      </c>
      <c r="S21" s="65" t="n">
        <f aca="false">M21*$K$25/100+N21*$K$26/100+O21*$K$29/100+P21*$K$28/100</f>
        <v>1.49292695826509</v>
      </c>
      <c r="T21" s="63" t="n">
        <f aca="false">3.76/C21</f>
        <v>0.688644688644689</v>
      </c>
      <c r="U21" s="50" t="n">
        <f aca="false">SUM(V21:Z21)</f>
        <v>17</v>
      </c>
      <c r="V21" s="63" t="n">
        <v>0</v>
      </c>
      <c r="W21" s="63" t="n">
        <v>0</v>
      </c>
      <c r="X21" s="63" t="n">
        <v>0</v>
      </c>
      <c r="Y21" s="31" t="n">
        <v>0</v>
      </c>
      <c r="Z21" s="31" t="n">
        <v>17</v>
      </c>
      <c r="AA21" s="66" t="n">
        <f aca="false">U21*T21</f>
        <v>11.7069597069597</v>
      </c>
      <c r="AB21" s="52" t="n">
        <f aca="false">V21*T21</f>
        <v>0</v>
      </c>
      <c r="AC21" s="66" t="n">
        <f aca="false">W21*T21</f>
        <v>0</v>
      </c>
      <c r="AD21" s="66" t="n">
        <f aca="false">X21*T21</f>
        <v>0</v>
      </c>
      <c r="AE21" s="67" t="n">
        <f aca="false">Y21*T21</f>
        <v>0</v>
      </c>
      <c r="AF21" s="66" t="n">
        <f aca="false">AA21-AC21-AD21-AE21</f>
        <v>11.7069597069597</v>
      </c>
      <c r="AG21" s="66" t="n">
        <f aca="false">AC21*$L$27/100+AD21*$L$30/100</f>
        <v>0</v>
      </c>
      <c r="AH21" s="52" t="n">
        <f aca="false">AC21*$J$27/100+AD21*$J$30/100+AF21*$J$28/100+AB21*$J$24/100</f>
        <v>8.40495655220856</v>
      </c>
      <c r="AI21" s="66" t="n">
        <f aca="false">AC21*$K$27/100+AD21*$K$30/100+AE21*$K$29/100+AF21*$K$28/100</f>
        <v>3.30200315475103</v>
      </c>
      <c r="AJ21" s="68" t="n">
        <f aca="false">Q21</f>
        <v>0</v>
      </c>
      <c r="AK21" s="68" t="n">
        <f aca="false">AG21</f>
        <v>0</v>
      </c>
      <c r="AL21" s="68" t="n">
        <f aca="false">SUM(R21,AH21)</f>
        <v>12.2050698869837</v>
      </c>
      <c r="AM21" s="68" t="n">
        <f aca="false">SUM(S21,AI21)</f>
        <v>4.79493011301612</v>
      </c>
      <c r="AN21" s="69" t="n">
        <v>1.63</v>
      </c>
      <c r="AO21" s="69" t="n">
        <v>3.62</v>
      </c>
      <c r="AP21" s="69" t="n">
        <v>23.09</v>
      </c>
      <c r="AQ21" s="70" t="n">
        <v>67.75</v>
      </c>
      <c r="AR21" s="71" t="n">
        <f aca="false">AN21-AJ21</f>
        <v>1.63</v>
      </c>
      <c r="AS21" s="72" t="n">
        <f aca="false">AO21-AK21</f>
        <v>3.62</v>
      </c>
      <c r="AT21" s="72" t="n">
        <f aca="false">AP21-AL21</f>
        <v>10.8849301130163</v>
      </c>
      <c r="AU21" s="73" t="n">
        <f aca="false">AQ21-AM21</f>
        <v>62.9550698869839</v>
      </c>
      <c r="AV21" s="94" t="n">
        <v>0.65</v>
      </c>
      <c r="AW21" s="94" t="n">
        <v>0.51</v>
      </c>
      <c r="AX21" s="94" t="n">
        <v>0</v>
      </c>
      <c r="AY21" s="94" t="n">
        <v>0.71</v>
      </c>
      <c r="AZ21" s="94" t="n">
        <v>1.17</v>
      </c>
      <c r="BA21" s="94" t="n">
        <v>0</v>
      </c>
      <c r="BB21" s="75" t="n">
        <f aca="false">SUM(AR21:BA21)</f>
        <v>82.1300000000002</v>
      </c>
      <c r="BC21" s="61"/>
    </row>
    <row r="22" customFormat="false" ht="12.8" hidden="false" customHeight="false" outlineLevel="0" collapsed="false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50"/>
      <c r="X22" s="50"/>
      <c r="Y22" s="50"/>
      <c r="Z22" s="50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</row>
    <row r="23" customFormat="false" ht="15.65" hidden="false" customHeight="false" outlineLevel="0" collapsed="false">
      <c r="A23" s="96"/>
      <c r="B23" s="96"/>
      <c r="C23" s="97" t="s">
        <v>37</v>
      </c>
      <c r="D23" s="97"/>
      <c r="E23" s="97"/>
      <c r="F23" s="97"/>
      <c r="G23" s="97"/>
      <c r="H23" s="97"/>
      <c r="I23" s="98" t="s">
        <v>38</v>
      </c>
      <c r="J23" s="98" t="s">
        <v>39</v>
      </c>
      <c r="K23" s="98" t="s">
        <v>40</v>
      </c>
      <c r="L23" s="99" t="s">
        <v>41</v>
      </c>
      <c r="M23" s="100"/>
      <c r="O23" s="96"/>
      <c r="P23" s="96"/>
      <c r="Q23" s="96"/>
      <c r="R23" s="96" t="s">
        <v>42</v>
      </c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</row>
    <row r="24" customFormat="false" ht="13.4" hidden="false" customHeight="false" outlineLevel="0" collapsed="false">
      <c r="A24" s="96"/>
      <c r="B24" s="96"/>
      <c r="C24" s="101" t="s">
        <v>43</v>
      </c>
      <c r="D24" s="101"/>
      <c r="E24" s="101"/>
      <c r="F24" s="101"/>
      <c r="G24" s="101"/>
      <c r="H24" s="101"/>
      <c r="I24" s="102" t="n">
        <v>0</v>
      </c>
      <c r="J24" s="102" t="n">
        <v>100</v>
      </c>
      <c r="K24" s="102" t="n">
        <v>0</v>
      </c>
      <c r="L24" s="103" t="n">
        <v>0</v>
      </c>
      <c r="M24" s="100"/>
      <c r="O24" s="96"/>
      <c r="P24" s="96"/>
      <c r="Q24" s="96" t="n">
        <v>1150</v>
      </c>
      <c r="R24" s="104" t="n">
        <f aca="false">P11+AF11</f>
        <v>33.6409395973154</v>
      </c>
      <c r="S24" s="104" t="n">
        <f aca="false">L11+AB11</f>
        <v>3.22147651006711</v>
      </c>
      <c r="T24" s="104" t="n">
        <f aca="false">AD11</f>
        <v>30.0335570469799</v>
      </c>
      <c r="U24" s="105" t="n">
        <f aca="false">100-R24-S24-T24</f>
        <v>33.1040268456376</v>
      </c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</row>
    <row r="25" customFormat="false" ht="15.65" hidden="false" customHeight="false" outlineLevel="0" collapsed="false">
      <c r="A25" s="96"/>
      <c r="B25" s="96"/>
      <c r="C25" s="106" t="s">
        <v>44</v>
      </c>
      <c r="D25" s="106"/>
      <c r="E25" s="106"/>
      <c r="F25" s="106"/>
      <c r="G25" s="106"/>
      <c r="H25" s="106"/>
      <c r="I25" s="107" t="n">
        <v>21.8152956</v>
      </c>
      <c r="J25" s="107" t="n">
        <v>35.888113</v>
      </c>
      <c r="K25" s="107" t="n">
        <v>42.2965914</v>
      </c>
      <c r="L25" s="108" t="n">
        <v>0</v>
      </c>
      <c r="M25" s="100"/>
      <c r="O25" s="96"/>
      <c r="P25" s="96"/>
      <c r="Q25" s="96" t="n">
        <v>1200</v>
      </c>
      <c r="R25" s="104" t="n">
        <f aca="false">AF12</f>
        <v>33.5570469798658</v>
      </c>
      <c r="S25" s="104" t="n">
        <f aca="false">L12</f>
        <v>2.81879194630872</v>
      </c>
      <c r="T25" s="104" t="n">
        <f aca="false">AD12</f>
        <v>28.5234899328859</v>
      </c>
      <c r="U25" s="109" t="n">
        <f aca="false">100-R25-S25-T25</f>
        <v>35.1006711409396</v>
      </c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</row>
    <row r="26" customFormat="false" ht="23.85" hidden="false" customHeight="false" outlineLevel="0" collapsed="false">
      <c r="A26" s="96"/>
      <c r="B26" s="96"/>
      <c r="C26" s="110" t="s">
        <v>45</v>
      </c>
      <c r="D26" s="110"/>
      <c r="E26" s="110"/>
      <c r="F26" s="110"/>
      <c r="G26" s="110"/>
      <c r="H26" s="110"/>
      <c r="I26" s="111" t="n">
        <v>11.81808474531</v>
      </c>
      <c r="J26" s="111" t="n">
        <v>19.441425362575</v>
      </c>
      <c r="K26" s="111" t="n">
        <v>68.740489892113</v>
      </c>
      <c r="L26" s="112" t="n">
        <v>0</v>
      </c>
      <c r="M26" s="113"/>
      <c r="O26" s="96"/>
      <c r="P26" s="96"/>
      <c r="Q26" s="96" t="n">
        <v>1250</v>
      </c>
      <c r="R26" s="104" t="n">
        <f aca="false">AF13</f>
        <v>33.0536912751678</v>
      </c>
      <c r="S26" s="104" t="n">
        <f aca="false">L13</f>
        <v>2.57718120805369</v>
      </c>
      <c r="T26" s="104" t="n">
        <f aca="false">AD13</f>
        <v>27.2651006711409</v>
      </c>
      <c r="U26" s="109" t="n">
        <f aca="false">100-R26-S26-T26</f>
        <v>37.1040268456376</v>
      </c>
      <c r="V26" s="96"/>
      <c r="W26" s="96"/>
      <c r="X26" s="96"/>
      <c r="Y26" s="96"/>
      <c r="AD26" s="114"/>
      <c r="AE26" s="115" t="s">
        <v>46</v>
      </c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</row>
    <row r="27" customFormat="false" ht="15.65" hidden="false" customHeight="false" outlineLevel="0" collapsed="false">
      <c r="A27" s="96"/>
      <c r="B27" s="96"/>
      <c r="C27" s="106" t="s">
        <v>47</v>
      </c>
      <c r="D27" s="106"/>
      <c r="E27" s="106"/>
      <c r="F27" s="106"/>
      <c r="G27" s="106"/>
      <c r="H27" s="106"/>
      <c r="I27" s="116" t="n">
        <v>0</v>
      </c>
      <c r="J27" s="116" t="n">
        <v>18.316273187486</v>
      </c>
      <c r="K27" s="116" t="n">
        <v>64.762205878654</v>
      </c>
      <c r="L27" s="117" t="n">
        <v>16.921520933858</v>
      </c>
      <c r="M27" s="113"/>
      <c r="O27" s="118"/>
      <c r="P27" s="96"/>
      <c r="Q27" s="96"/>
      <c r="R27" s="96" t="s">
        <v>48</v>
      </c>
      <c r="T27" s="96"/>
      <c r="U27" s="109"/>
      <c r="V27" s="96"/>
      <c r="W27" s="96"/>
      <c r="X27" s="96"/>
      <c r="Y27" s="96"/>
      <c r="AD27" s="119" t="n">
        <v>1100</v>
      </c>
      <c r="AE27" s="120" t="n">
        <f aca="false">100-SUM(AJ10:AM10)</f>
        <v>12.4316778523503</v>
      </c>
      <c r="AF27" s="95" t="n">
        <f aca="false">BB16</f>
        <v>67.3094871794874</v>
      </c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</row>
    <row r="28" customFormat="false" ht="15.65" hidden="false" customHeight="false" outlineLevel="0" collapsed="false">
      <c r="A28" s="96"/>
      <c r="B28" s="96"/>
      <c r="C28" s="106" t="s">
        <v>49</v>
      </c>
      <c r="D28" s="106"/>
      <c r="E28" s="106"/>
      <c r="F28" s="106"/>
      <c r="G28" s="106"/>
      <c r="H28" s="106"/>
      <c r="I28" s="116" t="n">
        <v>0</v>
      </c>
      <c r="J28" s="116" t="n">
        <v>71.794528746963</v>
      </c>
      <c r="K28" s="116" t="n">
        <v>28.205471253036</v>
      </c>
      <c r="L28" s="117" t="n">
        <v>0</v>
      </c>
      <c r="M28" s="113"/>
      <c r="O28" s="118"/>
      <c r="P28" s="96"/>
      <c r="Q28" s="96" t="n">
        <v>1150</v>
      </c>
      <c r="R28" s="104" t="n">
        <f aca="false">P17+AF17</f>
        <v>22.6</v>
      </c>
      <c r="S28" s="104" t="n">
        <f aca="false">O17+AE17</f>
        <v>4.82051282051282</v>
      </c>
      <c r="T28" s="96"/>
      <c r="U28" s="109" t="n">
        <f aca="false">100-R28-S28-T28</f>
        <v>72.5794871794872</v>
      </c>
      <c r="V28" s="96"/>
      <c r="W28" s="96"/>
      <c r="X28" s="96"/>
      <c r="Y28" s="96"/>
      <c r="AD28" s="119" t="n">
        <v>1150</v>
      </c>
      <c r="AE28" s="120" t="n">
        <f aca="false">100-SUM(AJ11:AM11)</f>
        <v>33.1040268456385</v>
      </c>
      <c r="AF28" s="95" t="n">
        <f aca="false">BB17</f>
        <v>71.7094871794874</v>
      </c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</row>
    <row r="29" customFormat="false" ht="16.5" hidden="false" customHeight="true" outlineLevel="0" collapsed="false">
      <c r="A29" s="96"/>
      <c r="B29" s="96"/>
      <c r="C29" s="106" t="s">
        <v>30</v>
      </c>
      <c r="D29" s="106"/>
      <c r="E29" s="106"/>
      <c r="F29" s="106"/>
      <c r="G29" s="106"/>
      <c r="H29" s="106"/>
      <c r="I29" s="121" t="n">
        <v>0</v>
      </c>
      <c r="J29" s="121" t="n">
        <v>0</v>
      </c>
      <c r="K29" s="121" t="n">
        <v>100</v>
      </c>
      <c r="L29" s="122" t="n">
        <v>0</v>
      </c>
      <c r="M29" s="113"/>
      <c r="O29" s="118"/>
      <c r="P29" s="96"/>
      <c r="Q29" s="96" t="n">
        <v>1200</v>
      </c>
      <c r="R29" s="104" t="n">
        <f aca="false">P18+AF18</f>
        <v>22.2</v>
      </c>
      <c r="S29" s="104" t="n">
        <f aca="false">O18+AE18</f>
        <v>2.75457875457875</v>
      </c>
      <c r="T29" s="96"/>
      <c r="U29" s="109" t="n">
        <f aca="false">100-R29-S29-T29</f>
        <v>75.0454212454212</v>
      </c>
      <c r="V29" s="96"/>
      <c r="W29" s="96"/>
      <c r="X29" s="96"/>
      <c r="Y29" s="96"/>
      <c r="AD29" s="119" t="n">
        <v>1200</v>
      </c>
      <c r="AE29" s="120" t="n">
        <f aca="false">100-SUM(AJ12:AM12)</f>
        <v>35.1006711409405</v>
      </c>
      <c r="AF29" s="95" t="n">
        <f aca="false">BB18</f>
        <v>74.1754212454215</v>
      </c>
      <c r="AG29" s="96"/>
      <c r="AH29" s="96"/>
      <c r="AI29" s="96"/>
      <c r="AJ29" s="96"/>
      <c r="AK29" s="96"/>
      <c r="AL29" s="96"/>
      <c r="AM29" s="96"/>
      <c r="AN29" s="123" t="s">
        <v>50</v>
      </c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</row>
    <row r="30" customFormat="false" ht="15.75" hidden="false" customHeight="true" outlineLevel="0" collapsed="false">
      <c r="A30" s="96"/>
      <c r="B30" s="96"/>
      <c r="C30" s="124" t="s">
        <v>51</v>
      </c>
      <c r="D30" s="124"/>
      <c r="E30" s="124"/>
      <c r="F30" s="124"/>
      <c r="G30" s="124"/>
      <c r="H30" s="124"/>
      <c r="I30" s="125" t="n">
        <v>0</v>
      </c>
      <c r="J30" s="125" t="n">
        <v>23.358839835964</v>
      </c>
      <c r="K30" s="125" t="n">
        <v>55.061055236087</v>
      </c>
      <c r="L30" s="126" t="n">
        <v>21.580104927947</v>
      </c>
      <c r="M30" s="127"/>
      <c r="O30" s="96"/>
      <c r="P30" s="96"/>
      <c r="Q30" s="96" t="n">
        <v>1250</v>
      </c>
      <c r="R30" s="104" t="n">
        <f aca="false">P19+AF19</f>
        <v>22</v>
      </c>
      <c r="S30" s="104" t="n">
        <f aca="false">O19+AE19</f>
        <v>0</v>
      </c>
      <c r="T30" s="96"/>
      <c r="U30" s="128" t="n">
        <f aca="false">100-R30-S30-T30</f>
        <v>78</v>
      </c>
      <c r="V30" s="96"/>
      <c r="W30" s="96"/>
      <c r="X30" s="96"/>
      <c r="Y30" s="96"/>
      <c r="AD30" s="119" t="n">
        <v>1250</v>
      </c>
      <c r="AE30" s="120" t="n">
        <f aca="false">100-SUM(AJ13:AM13)</f>
        <v>37.1040268456385</v>
      </c>
      <c r="AF30" s="95" t="n">
        <f aca="false">BB19</f>
        <v>77.1300000000002</v>
      </c>
      <c r="AG30" s="96"/>
      <c r="AH30" s="96"/>
      <c r="AI30" s="96"/>
      <c r="AJ30" s="96"/>
      <c r="AK30" s="96"/>
      <c r="AL30" s="96"/>
      <c r="AM30" s="129" t="s">
        <v>52</v>
      </c>
      <c r="AN30" s="129"/>
      <c r="AO30" s="130" t="s">
        <v>53</v>
      </c>
      <c r="AP30" s="131" t="s">
        <v>54</v>
      </c>
      <c r="AQ30" s="131"/>
      <c r="AR30" s="131"/>
      <c r="AS30" s="131"/>
      <c r="AT30" s="131"/>
      <c r="AU30" s="131"/>
      <c r="AV30" s="131"/>
      <c r="AW30" s="131"/>
      <c r="AX30" s="131"/>
      <c r="AY30" s="131"/>
      <c r="AZ30" s="132" t="s">
        <v>17</v>
      </c>
    </row>
    <row r="31" customFormat="false" ht="14.9" hidden="false" customHeight="false" outlineLevel="0" collapsed="false">
      <c r="A31" s="96"/>
      <c r="B31" s="96"/>
      <c r="C31" s="41"/>
      <c r="D31" s="41"/>
      <c r="E31" s="41"/>
      <c r="F31" s="41"/>
      <c r="G31" s="41"/>
      <c r="H31" s="41"/>
      <c r="O31" s="96"/>
      <c r="R31" s="100"/>
      <c r="W31" s="96"/>
      <c r="X31" s="96"/>
      <c r="Y31" s="96"/>
      <c r="AD31" s="119" t="n">
        <v>1300</v>
      </c>
      <c r="AE31" s="120" t="n">
        <f aca="false">100-SUM(AJ14:AM14)</f>
        <v>38.8523489932894</v>
      </c>
      <c r="AF31" s="95" t="n">
        <f aca="false">BB20</f>
        <v>80.1300000000002</v>
      </c>
      <c r="AG31" s="96"/>
      <c r="AH31" s="96"/>
      <c r="AI31" s="96"/>
      <c r="AJ31" s="96"/>
      <c r="AK31" s="96"/>
      <c r="AL31" s="96"/>
      <c r="AM31" s="129"/>
      <c r="AN31" s="129"/>
      <c r="AO31" s="130"/>
      <c r="AP31" s="133" t="s">
        <v>9</v>
      </c>
      <c r="AQ31" s="133" t="s">
        <v>10</v>
      </c>
      <c r="AR31" s="133" t="s">
        <v>8</v>
      </c>
      <c r="AS31" s="133" t="s">
        <v>7</v>
      </c>
      <c r="AT31" s="134" t="s">
        <v>11</v>
      </c>
      <c r="AU31" s="134" t="s">
        <v>12</v>
      </c>
      <c r="AV31" s="134" t="s">
        <v>13</v>
      </c>
      <c r="AW31" s="134" t="s">
        <v>14</v>
      </c>
      <c r="AX31" s="134" t="s">
        <v>15</v>
      </c>
      <c r="AY31" s="134" t="s">
        <v>16</v>
      </c>
      <c r="AZ31" s="132"/>
      <c r="BB31" s="0" t="s">
        <v>55</v>
      </c>
    </row>
    <row r="32" customFormat="false" ht="12.8" hidden="false" customHeight="false" outlineLevel="0" collapsed="false">
      <c r="A32" s="96"/>
      <c r="B32" s="96"/>
      <c r="C32" s="96"/>
      <c r="D32" s="96"/>
      <c r="O32" s="96"/>
      <c r="R32" s="100"/>
      <c r="W32" s="96"/>
      <c r="X32" s="96"/>
      <c r="Y32" s="96"/>
      <c r="AD32" s="135" t="n">
        <v>1350</v>
      </c>
      <c r="AE32" s="136" t="n">
        <f aca="false">100-SUM(AJ15:AM15)</f>
        <v>49.828859060403</v>
      </c>
      <c r="AF32" s="95" t="n">
        <f aca="false">BB21</f>
        <v>82.1300000000002</v>
      </c>
      <c r="AG32" s="96"/>
      <c r="AH32" s="96"/>
      <c r="AI32" s="96"/>
      <c r="AJ32" s="96"/>
      <c r="AK32" s="96"/>
      <c r="AL32" s="96"/>
      <c r="AM32" s="137" t="str">
        <f aca="false">A10</f>
        <v>K3-K4 плагиоклаз-серицитовая порода</v>
      </c>
      <c r="AN32" s="137"/>
      <c r="AO32" s="138" t="n">
        <v>1100</v>
      </c>
      <c r="AP32" s="139" t="n">
        <f aca="false">AR10*100/BB10</f>
        <v>13.2312089194078</v>
      </c>
      <c r="AQ32" s="139" t="n">
        <f aca="false">AS10*100/BB10</f>
        <v>0.574673871365021</v>
      </c>
      <c r="AR32" s="139" t="n">
        <f aca="false">AT10*100/BB10</f>
        <v>11.8923341292451</v>
      </c>
      <c r="AS32" s="139" t="n">
        <f aca="false">AU10*100/BB10</f>
        <v>53.8701082073921</v>
      </c>
      <c r="AT32" s="140" t="n">
        <f aca="false">AV10*100/BB10</f>
        <v>12.6290273818765</v>
      </c>
      <c r="AU32" s="140" t="n">
        <f aca="false">AW10*100/BB10</f>
        <v>4.02198324263583</v>
      </c>
      <c r="AV32" s="128" t="n">
        <f aca="false">AX10*100/BB10</f>
        <v>0.0804396648527166</v>
      </c>
      <c r="AW32" s="141" t="n">
        <f aca="false">AY10*100/BB10</f>
        <v>2.73494860499237</v>
      </c>
      <c r="AX32" s="141" t="n">
        <f aca="false">AZ10*100/BB10</f>
        <v>0.0804396648527166</v>
      </c>
      <c r="AY32" s="141" t="n">
        <f aca="false">BA10*100/BB10</f>
        <v>0.884836313379883</v>
      </c>
      <c r="AZ32" s="142" t="n">
        <f aca="false">SUM(AP32:AY32)</f>
        <v>100</v>
      </c>
      <c r="BB32" s="143" t="n">
        <f aca="false">(AP32+AQ32+AV32+AW32+AX32)/(AR32+AS32+AU32+AT32+AY32+AJ10+AK10)</f>
        <v>0.181516684713517</v>
      </c>
    </row>
    <row r="33" customFormat="false" ht="12.8" hidden="false" customHeight="false" outlineLevel="0" collapsed="false">
      <c r="A33" s="96"/>
      <c r="B33" s="96"/>
      <c r="C33" s="96"/>
      <c r="D33" s="96"/>
      <c r="O33" s="96"/>
      <c r="R33" s="100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37"/>
      <c r="AN33" s="137"/>
      <c r="AO33" s="138" t="n">
        <v>1150</v>
      </c>
      <c r="AP33" s="139" t="n">
        <f aca="false">AR11*100/BB11</f>
        <v>5.07491130258475</v>
      </c>
      <c r="AQ33" s="139" t="n">
        <f aca="false">AS11*100/BB11</f>
        <v>6.85332599035707</v>
      </c>
      <c r="AR33" s="139" t="n">
        <f aca="false">AT11*100/BB11</f>
        <v>16.5861361155412</v>
      </c>
      <c r="AS33" s="139" t="n">
        <f aca="false">AU11*100/BB11</f>
        <v>63.8128440268949</v>
      </c>
      <c r="AT33" s="140" t="n">
        <f aca="false">AV11*100/BB11</f>
        <v>4.74262544348694</v>
      </c>
      <c r="AU33" s="140" t="n">
        <f aca="false">AW11*100/BB11</f>
        <v>1.51039026862641</v>
      </c>
      <c r="AV33" s="128" t="n">
        <f aca="false">AX11*100/BB11</f>
        <v>0.0302078053725283</v>
      </c>
      <c r="AW33" s="141" t="n">
        <f aca="false">AY11*100/BB11</f>
        <v>1.02706538266596</v>
      </c>
      <c r="AX33" s="141" t="n">
        <f aca="false">AZ11*100/BB11</f>
        <v>0.0302078053725283</v>
      </c>
      <c r="AY33" s="141" t="n">
        <f aca="false">BA11*100/BB11</f>
        <v>0.332285859097811</v>
      </c>
      <c r="AZ33" s="142" t="n">
        <f aca="false">SUM(AP33:AY33)</f>
        <v>100</v>
      </c>
      <c r="BB33" s="143" t="n">
        <f aca="false">(AP33+AQ33+AV33+AW33+AX33)/(AR33+AS33+AU33+AT33+AY33+AJ11+AK11)</f>
        <v>0.139256845036818</v>
      </c>
    </row>
    <row r="34" customFormat="false" ht="14.9" hidden="false" customHeight="false" outlineLevel="0" collapsed="false">
      <c r="A34" s="96"/>
      <c r="B34" s="144"/>
      <c r="C34" s="145" t="s">
        <v>27</v>
      </c>
      <c r="D34" s="145" t="s">
        <v>28</v>
      </c>
      <c r="E34" s="11" t="s">
        <v>32</v>
      </c>
      <c r="F34" s="11" t="s">
        <v>33</v>
      </c>
      <c r="G34" s="145" t="s">
        <v>31</v>
      </c>
      <c r="H34" s="145" t="s">
        <v>30</v>
      </c>
      <c r="I34" s="145" t="s">
        <v>56</v>
      </c>
      <c r="O34" s="96"/>
      <c r="R34" s="100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137"/>
      <c r="AN34" s="137"/>
      <c r="AO34" s="138" t="n">
        <v>1200</v>
      </c>
      <c r="AP34" s="139" t="n">
        <f aca="false">AR12*100/BB12</f>
        <v>4.78623326959835</v>
      </c>
      <c r="AQ34" s="139" t="n">
        <f aca="false">AS12*100/BB12</f>
        <v>7.39188414076946</v>
      </c>
      <c r="AR34" s="139" t="n">
        <f aca="false">AT12*100/BB12</f>
        <v>17.9664028608672</v>
      </c>
      <c r="AS34" s="139" t="n">
        <f aca="false">AU12*100/BB12</f>
        <v>62.6191508568722</v>
      </c>
      <c r="AT34" s="140" t="n">
        <f aca="false">AV12*100/BB12</f>
        <v>4.47284894837465</v>
      </c>
      <c r="AU34" s="140" t="n">
        <f aca="false">AW12*100/BB12</f>
        <v>1.42447418738046</v>
      </c>
      <c r="AV34" s="128" t="n">
        <f aca="false">AX12*100/BB12</f>
        <v>0.0284894837476092</v>
      </c>
      <c r="AW34" s="141" t="n">
        <f aca="false">AY12*100/BB12</f>
        <v>0.968642447418713</v>
      </c>
      <c r="AX34" s="141" t="n">
        <f aca="false">AZ12*100/BB12</f>
        <v>0.0284894837476092</v>
      </c>
      <c r="AY34" s="141" t="n">
        <f aca="false">BA12*100/BB12</f>
        <v>0.313384321223701</v>
      </c>
      <c r="AZ34" s="142" t="n">
        <f aca="false">SUM(AP34:AY34)</f>
        <v>100</v>
      </c>
      <c r="BB34" s="143" t="n">
        <f aca="false">(AP34+AQ34+AV34+AW34+AX34)/(AR34+AS34+AU34+AT34+AY34+AJ12+AK12)</f>
        <v>0.142049521142699</v>
      </c>
    </row>
    <row r="35" customFormat="false" ht="12.8" hidden="false" customHeight="false" outlineLevel="0" collapsed="false">
      <c r="A35" s="96"/>
      <c r="B35" s="11" t="n">
        <v>1100</v>
      </c>
      <c r="C35" s="146" t="n">
        <f aca="false">L10+AB10</f>
        <v>3.51463087248322</v>
      </c>
      <c r="D35" s="146" t="n">
        <v>0.16</v>
      </c>
      <c r="E35" s="146" t="n">
        <f aca="false">AC10</f>
        <v>38.2130872483221</v>
      </c>
      <c r="F35" s="146" t="n">
        <f aca="false">AD10</f>
        <v>10.251677852349</v>
      </c>
      <c r="G35" s="146" t="n">
        <f aca="false">AF10</f>
        <v>35.4278523489933</v>
      </c>
      <c r="H35" s="146" t="n">
        <v>0</v>
      </c>
      <c r="I35" s="74" t="n">
        <f aca="false">100-C35-D35-E35-F35-G35-H35</f>
        <v>12.4327516778524</v>
      </c>
      <c r="O35" s="96"/>
      <c r="R35" s="100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137"/>
      <c r="AN35" s="137"/>
      <c r="AO35" s="138" t="n">
        <v>1250</v>
      </c>
      <c r="AP35" s="139" t="n">
        <f aca="false">AR13*100/BB13</f>
        <v>4.52781043682724</v>
      </c>
      <c r="AQ35" s="139" t="n">
        <f aca="false">AS13*100/BB13</f>
        <v>7.72466740168478</v>
      </c>
      <c r="AR35" s="139" t="n">
        <f aca="false">AT13*100/BB13</f>
        <v>19.4137033711858</v>
      </c>
      <c r="AS35" s="139" t="n">
        <f aca="false">AU13*100/BB13</f>
        <v>61.4882006298609</v>
      </c>
      <c r="AT35" s="140" t="n">
        <f aca="false">AV13*100/BB13</f>
        <v>4.23134665822546</v>
      </c>
      <c r="AU35" s="140" t="n">
        <f aca="false">AW13*100/BB13</f>
        <v>1.34756263000811</v>
      </c>
      <c r="AV35" s="128" t="n">
        <f aca="false">AX13*100/BB13</f>
        <v>0.0269512526001622</v>
      </c>
      <c r="AW35" s="141" t="n">
        <f aca="false">AY13*100/BB13</f>
        <v>0.916342588405513</v>
      </c>
      <c r="AX35" s="141" t="n">
        <f aca="false">AZ13*100/BB13</f>
        <v>0.0269512526001622</v>
      </c>
      <c r="AY35" s="141" t="n">
        <f aca="false">BA13*100/BB13</f>
        <v>0.296463778601784</v>
      </c>
      <c r="AZ35" s="142" t="n">
        <f aca="false">SUM(AP35:AY35)</f>
        <v>100</v>
      </c>
      <c r="BB35" s="143" t="n">
        <f aca="false">(AP35+AQ35+AV35+AW35+AX35)/(AR35+AS35+AU35+AT35+AY35+AJ13+AK13)</f>
        <v>0.142699804740472</v>
      </c>
    </row>
    <row r="36" customFormat="false" ht="12.8" hidden="false" customHeight="false" outlineLevel="0" collapsed="false">
      <c r="A36" s="41"/>
      <c r="B36" s="11" t="n">
        <v>1150</v>
      </c>
      <c r="C36" s="146" t="n">
        <f aca="false">L11+AB11</f>
        <v>3.22147651006711</v>
      </c>
      <c r="D36" s="146" t="n">
        <v>0</v>
      </c>
      <c r="E36" s="146" t="n">
        <f aca="false">AC11</f>
        <v>0</v>
      </c>
      <c r="F36" s="146" t="n">
        <f aca="false">AD11</f>
        <v>30.0335570469799</v>
      </c>
      <c r="G36" s="146" t="n">
        <f aca="false">AF11</f>
        <v>33.6409395973154</v>
      </c>
      <c r="H36" s="146" t="n">
        <v>0</v>
      </c>
      <c r="I36" s="74" t="n">
        <f aca="false">100-C36-D36-E36-F36-G36-H36</f>
        <v>33.1040268456376</v>
      </c>
      <c r="Q36" s="113"/>
      <c r="W36" s="41"/>
      <c r="X36" s="41"/>
      <c r="Y36" s="41"/>
      <c r="Z36" s="41"/>
      <c r="AA36" s="147"/>
      <c r="AB36" s="147"/>
      <c r="AC36" s="147"/>
      <c r="AD36" s="147"/>
      <c r="AE36" s="41"/>
      <c r="AF36" s="147"/>
      <c r="AG36" s="147"/>
      <c r="AH36" s="147"/>
      <c r="AI36" s="147"/>
      <c r="AJ36" s="147"/>
      <c r="AK36" s="147"/>
      <c r="AL36" s="147"/>
      <c r="AM36" s="137"/>
      <c r="AN36" s="137"/>
      <c r="AO36" s="138" t="n">
        <v>1300</v>
      </c>
      <c r="AP36" s="139" t="n">
        <f aca="false">AR14*100/BB14</f>
        <v>4.32406287787173</v>
      </c>
      <c r="AQ36" s="139" t="n">
        <f aca="false">AS14*100/BB14</f>
        <v>8.07602235346422</v>
      </c>
      <c r="AR36" s="139" t="n">
        <f aca="false">AT14*100/BB14</f>
        <v>20.4358792149798</v>
      </c>
      <c r="AS36" s="139" t="n">
        <f aca="false">AU14*100/BB14</f>
        <v>60.6264642978544</v>
      </c>
      <c r="AT36" s="140" t="n">
        <f aca="false">AV14*100/BB14</f>
        <v>4.04093971324918</v>
      </c>
      <c r="AU36" s="140" t="n">
        <f aca="false">AW14*100/BB14</f>
        <v>1.28692347555706</v>
      </c>
      <c r="AV36" s="128" t="n">
        <f aca="false">AX14*100/BB14</f>
        <v>0.0257384695111413</v>
      </c>
      <c r="AW36" s="141" t="n">
        <f aca="false">AY14*100/BB14</f>
        <v>0.875107963378803</v>
      </c>
      <c r="AX36" s="141" t="n">
        <f aca="false">AZ14*100/BB14</f>
        <v>0.0257384695111413</v>
      </c>
      <c r="AY36" s="141" t="n">
        <f aca="false">BA14*100/BB14</f>
        <v>0.283123164622554</v>
      </c>
      <c r="AZ36" s="142" t="n">
        <f aca="false">SUM(AP36:AY36)</f>
        <v>100</v>
      </c>
      <c r="BA36" s="148"/>
      <c r="BB36" s="143" t="n">
        <f aca="false">(AP36+AQ36+AV36+AW36+AX36)/(AR36+AS36+AU36+AT36+AY36+AJ14+AK14)</f>
        <v>0.144406812578143</v>
      </c>
      <c r="BC36" s="148"/>
      <c r="BD36" s="148"/>
      <c r="BE36" s="148"/>
      <c r="BF36" s="148"/>
      <c r="BG36" s="148"/>
      <c r="BH36" s="148"/>
    </row>
    <row r="37" customFormat="false" ht="12.8" hidden="false" customHeight="false" outlineLevel="0" collapsed="false">
      <c r="A37" s="41"/>
      <c r="B37" s="11" t="n">
        <v>1200</v>
      </c>
      <c r="C37" s="146" t="n">
        <f aca="false">L12+AB12</f>
        <v>2.81879194630873</v>
      </c>
      <c r="D37" s="146" t="n">
        <v>0</v>
      </c>
      <c r="E37" s="146" t="n">
        <f aca="false">AC12</f>
        <v>0</v>
      </c>
      <c r="F37" s="146" t="n">
        <f aca="false">AD12</f>
        <v>28.5234899328859</v>
      </c>
      <c r="G37" s="146" t="n">
        <f aca="false">AF12</f>
        <v>33.5570469798658</v>
      </c>
      <c r="H37" s="146" t="n">
        <v>0</v>
      </c>
      <c r="I37" s="74" t="n">
        <f aca="false">100-C37-D37-E37-F37-G37-H37</f>
        <v>35.1006711409396</v>
      </c>
      <c r="Q37" s="113"/>
      <c r="W37" s="41"/>
      <c r="X37" s="41"/>
      <c r="Y37" s="41"/>
      <c r="Z37" s="41"/>
      <c r="AA37" s="147"/>
      <c r="AB37" s="147"/>
      <c r="AC37" s="147"/>
      <c r="AD37" s="147"/>
      <c r="AE37" s="41"/>
      <c r="AF37" s="147"/>
      <c r="AG37" s="147"/>
      <c r="AH37" s="147"/>
      <c r="AI37" s="147"/>
      <c r="AL37" s="147"/>
      <c r="AM37" s="137"/>
      <c r="AN37" s="137"/>
      <c r="AO37" s="149" t="n">
        <v>1350</v>
      </c>
      <c r="AP37" s="150" t="n">
        <f aca="false">AR15*100/BB15</f>
        <v>3.37154017105527</v>
      </c>
      <c r="AQ37" s="150" t="n">
        <f aca="false">AS15*100/BB15</f>
        <v>14.8351608364266</v>
      </c>
      <c r="AR37" s="150" t="n">
        <f aca="false">AT15*100/BB15</f>
        <v>0.896381617553287</v>
      </c>
      <c r="AS37" s="150" t="n">
        <f aca="false">AU15*100/BB15</f>
        <v>75.7994697353932</v>
      </c>
      <c r="AT37" s="151" t="n">
        <f aca="false">AV15*100/BB15</f>
        <v>3.15078456461712</v>
      </c>
      <c r="AU37" s="151" t="n">
        <f aca="false">AW15*100/BB15</f>
        <v>1.00343457471883</v>
      </c>
      <c r="AV37" s="152" t="n">
        <f aca="false">AX15*100/BB15</f>
        <v>0.0200686914943766</v>
      </c>
      <c r="AW37" s="153" t="n">
        <f aca="false">AY15*100/BB15</f>
        <v>0.682335510808804</v>
      </c>
      <c r="AX37" s="153" t="n">
        <f aca="false">AZ15*100/BB15</f>
        <v>0.0200686914943766</v>
      </c>
      <c r="AY37" s="153" t="n">
        <f aca="false">BA15*100/BB15</f>
        <v>0.220755606438142</v>
      </c>
      <c r="AZ37" s="153" t="n">
        <f aca="false">SUM(AP37:AY37)</f>
        <v>100</v>
      </c>
      <c r="BA37" s="148"/>
      <c r="BB37" s="143" t="n">
        <f aca="false">(AP37+AQ37+AV37+AW37+AX37)/(AR37+AS37+AU37+AT37+AY37+AJ15+AK15)</f>
        <v>0.229643181243048</v>
      </c>
      <c r="BC37" s="148"/>
      <c r="BD37" s="148"/>
      <c r="BE37" s="148"/>
      <c r="BF37" s="148"/>
      <c r="BG37" s="148"/>
      <c r="BH37" s="148"/>
    </row>
    <row r="38" customFormat="false" ht="12.8" hidden="false" customHeight="false" outlineLevel="0" collapsed="false">
      <c r="A38" s="38"/>
      <c r="B38" s="11" t="n">
        <v>1250</v>
      </c>
      <c r="C38" s="146" t="n">
        <f aca="false">L13+AB13</f>
        <v>2.57718120805369</v>
      </c>
      <c r="D38" s="146" t="n">
        <v>0</v>
      </c>
      <c r="E38" s="146" t="n">
        <f aca="false">AC13</f>
        <v>0</v>
      </c>
      <c r="F38" s="146" t="n">
        <f aca="false">AD13</f>
        <v>27.2651006711409</v>
      </c>
      <c r="G38" s="146" t="n">
        <f aca="false">AF13</f>
        <v>33.0536912751678</v>
      </c>
      <c r="H38" s="146" t="n">
        <v>0</v>
      </c>
      <c r="I38" s="74" t="n">
        <f aca="false">100-C38-D38-E38-F38-G38-H38</f>
        <v>37.1040268456376</v>
      </c>
      <c r="Q38" s="113"/>
      <c r="W38" s="41"/>
      <c r="X38" s="41"/>
      <c r="Y38" s="41"/>
      <c r="Z38" s="41"/>
      <c r="AA38" s="147"/>
      <c r="AB38" s="147"/>
      <c r="AC38" s="147"/>
      <c r="AD38" s="147"/>
      <c r="AE38" s="41"/>
      <c r="AF38" s="147"/>
      <c r="AG38" s="147"/>
      <c r="AH38" s="147"/>
      <c r="AI38" s="147"/>
      <c r="AL38" s="147"/>
      <c r="AM38" s="154" t="str">
        <f aca="false">A16</f>
        <v>Ch-9 кварц-пирофиллитовая порода</v>
      </c>
      <c r="AN38" s="154"/>
      <c r="AO38" s="138" t="n">
        <v>1100</v>
      </c>
      <c r="AP38" s="139" t="n">
        <f aca="false">AR16*100/BB16</f>
        <v>2.42164970838872</v>
      </c>
      <c r="AQ38" s="139" t="n">
        <f aca="false">AS16*100/BB16</f>
        <v>5.37814229715777</v>
      </c>
      <c r="AR38" s="139" t="n">
        <f aca="false">AT16*100/BB16</f>
        <v>9.77166617041607</v>
      </c>
      <c r="AS38" s="139" t="n">
        <f aca="false">AU16*100/BB16</f>
        <v>77.9120908341591</v>
      </c>
      <c r="AT38" s="140" t="n">
        <f aca="false">AV16*100/BB16</f>
        <v>0.965688534020042</v>
      </c>
      <c r="AU38" s="140" t="n">
        <f aca="false">AW16*100/BB16</f>
        <v>0.757694080538802</v>
      </c>
      <c r="AV38" s="128" t="n">
        <f aca="false">AX16*100/BB16</f>
        <v>0</v>
      </c>
      <c r="AW38" s="141" t="n">
        <f aca="false">AY16*100/BB16</f>
        <v>1.05482901408343</v>
      </c>
      <c r="AX38" s="141" t="n">
        <f aca="false">AZ16*100/BB16</f>
        <v>1.73823936123608</v>
      </c>
      <c r="AY38" s="141" t="n">
        <f aca="false">BA16*100/BB16</f>
        <v>0</v>
      </c>
      <c r="AZ38" s="141" t="n">
        <f aca="false">SUM(AP38:AY38)</f>
        <v>100</v>
      </c>
      <c r="BA38" s="148"/>
      <c r="BB38" s="143" t="n">
        <f aca="false">(AP38+AQ38+AV38+AW38+AX38)/(AR38+AS38+AU38+AT38+AY38+AJ16+AK16)</f>
        <v>0.118478909245845</v>
      </c>
      <c r="BC38" s="148"/>
      <c r="BD38" s="148"/>
      <c r="BE38" s="148"/>
      <c r="BF38" s="148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</row>
    <row r="39" customFormat="false" ht="12.8" hidden="false" customHeight="false" outlineLevel="0" collapsed="false">
      <c r="A39" s="38"/>
      <c r="B39" s="11" t="n">
        <v>1300</v>
      </c>
      <c r="C39" s="146" t="n">
        <f aca="false">L14+AB14</f>
        <v>2.25503355704698</v>
      </c>
      <c r="D39" s="146" t="n">
        <v>0</v>
      </c>
      <c r="E39" s="146" t="n">
        <f aca="false">AC14</f>
        <v>0</v>
      </c>
      <c r="F39" s="146" t="n">
        <f aca="false">AD14</f>
        <v>26.006711409396</v>
      </c>
      <c r="G39" s="146" t="n">
        <f aca="false">AF14</f>
        <v>32.8859060402685</v>
      </c>
      <c r="H39" s="146" t="n">
        <v>0</v>
      </c>
      <c r="I39" s="74" t="n">
        <f aca="false">100-C39-D39-E39-F39-G39-H39</f>
        <v>38.8523489932886</v>
      </c>
      <c r="Q39" s="113"/>
      <c r="W39" s="41"/>
      <c r="X39" s="41"/>
      <c r="Y39" s="41"/>
      <c r="Z39" s="41"/>
      <c r="AA39" s="147"/>
      <c r="AB39" s="147"/>
      <c r="AC39" s="147"/>
      <c r="AD39" s="147"/>
      <c r="AE39" s="41"/>
      <c r="AF39" s="147"/>
      <c r="AG39" s="147"/>
      <c r="AH39" s="147"/>
      <c r="AI39" s="147"/>
      <c r="AL39" s="147"/>
      <c r="AM39" s="154"/>
      <c r="AN39" s="154"/>
      <c r="AO39" s="138" t="n">
        <v>1150</v>
      </c>
      <c r="AP39" s="156" t="n">
        <f aca="false">AR17*100/BB17</f>
        <v>2.27306046119134</v>
      </c>
      <c r="AQ39" s="156" t="n">
        <f aca="false">AS17*100/BB17</f>
        <v>5.04814654571328</v>
      </c>
      <c r="AR39" s="156" t="n">
        <f aca="false">AT17*100/BB17</f>
        <v>9.57256392868186</v>
      </c>
      <c r="AS39" s="156" t="n">
        <f aca="false">AU17*100/BB17</f>
        <v>78.8669015785106</v>
      </c>
      <c r="AT39" s="157" t="n">
        <f aca="false">AV17*100/BB17</f>
        <v>0.90643515323581</v>
      </c>
      <c r="AU39" s="157" t="n">
        <f aca="false">AW17*100/BB17</f>
        <v>0.71120296638502</v>
      </c>
      <c r="AV39" s="158" t="n">
        <f aca="false">AX17*100/BB17</f>
        <v>0</v>
      </c>
      <c r="AW39" s="159" t="n">
        <f aca="false">AY17*100/BB17</f>
        <v>0.990106090457577</v>
      </c>
      <c r="AX39" s="159" t="n">
        <f aca="false">AZ17*100/BB17</f>
        <v>1.63158327582446</v>
      </c>
      <c r="AY39" s="159" t="n">
        <f aca="false">BA17*100/BB17</f>
        <v>0</v>
      </c>
      <c r="AZ39" s="159" t="n">
        <f aca="false">SUM(AP39:AY39)</f>
        <v>100</v>
      </c>
      <c r="BA39" s="148"/>
      <c r="BB39" s="143" t="n">
        <f aca="false">(AP39+AQ39+AV39+AW39+AX39)/(AR39+AS39+AU39+AT39+AY39+AJ17+AK17)</f>
        <v>0.110406575081394</v>
      </c>
      <c r="BC39" s="148"/>
      <c r="BD39" s="148"/>
      <c r="BE39" s="148"/>
      <c r="BF39" s="148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</row>
    <row r="40" customFormat="false" ht="12.8" hidden="false" customHeight="false" outlineLevel="0" collapsed="false">
      <c r="A40" s="38"/>
      <c r="B40" s="11" t="n">
        <v>1350</v>
      </c>
      <c r="C40" s="146" t="n">
        <f aca="false">L15+AB15</f>
        <v>22.9060402684564</v>
      </c>
      <c r="D40" s="146" t="n">
        <v>0</v>
      </c>
      <c r="E40" s="146" t="n">
        <f aca="false">AC15</f>
        <v>0</v>
      </c>
      <c r="F40" s="146" t="n">
        <f aca="false">AD15</f>
        <v>6.29194630872483</v>
      </c>
      <c r="G40" s="146" t="n">
        <f aca="false">AF15</f>
        <v>20.9731543624161</v>
      </c>
      <c r="H40" s="146" t="n">
        <v>0</v>
      </c>
      <c r="I40" s="74" t="n">
        <f aca="false">100-C40-D40-E40-F40-G40-H40</f>
        <v>49.8288590604027</v>
      </c>
      <c r="Q40" s="113"/>
      <c r="W40" s="41"/>
      <c r="X40" s="41"/>
      <c r="Y40" s="41"/>
      <c r="Z40" s="41"/>
      <c r="AA40" s="147"/>
      <c r="AB40" s="147"/>
      <c r="AC40" s="147"/>
      <c r="AD40" s="147"/>
      <c r="AE40" s="41"/>
      <c r="AF40" s="147"/>
      <c r="AG40" s="147"/>
      <c r="AH40" s="147"/>
      <c r="AI40" s="147"/>
      <c r="AL40" s="147"/>
      <c r="AM40" s="154"/>
      <c r="AN40" s="154"/>
      <c r="AO40" s="138" t="n">
        <v>1200</v>
      </c>
      <c r="AP40" s="156" t="n">
        <f aca="false">AR18*100/BB18</f>
        <v>2.19749341848276</v>
      </c>
      <c r="AQ40" s="156" t="n">
        <f aca="false">AS18*100/BB18</f>
        <v>4.88032280669177</v>
      </c>
      <c r="AR40" s="156" t="n">
        <f aca="false">AT18*100/BB18</f>
        <v>9.64148837727787</v>
      </c>
      <c r="AS40" s="156" t="n">
        <f aca="false">AU18*100/BB18</f>
        <v>79.1823027643037</v>
      </c>
      <c r="AT40" s="157" t="n">
        <f aca="false">AV18*100/BB18</f>
        <v>0.876301056450181</v>
      </c>
      <c r="AU40" s="157" t="n">
        <f aca="false">AW18*100/BB18</f>
        <v>0.687559290445526</v>
      </c>
      <c r="AV40" s="158" t="n">
        <f aca="false">AX18*100/BB18</f>
        <v>0</v>
      </c>
      <c r="AW40" s="159" t="n">
        <f aca="false">AY18*100/BB18</f>
        <v>0.957190384737889</v>
      </c>
      <c r="AX40" s="159" t="n">
        <f aca="false">AZ18*100/BB18</f>
        <v>1.57734190161033</v>
      </c>
      <c r="AY40" s="159" t="n">
        <f aca="false">BA18*100/BB18</f>
        <v>0</v>
      </c>
      <c r="AZ40" s="159" t="n">
        <f aca="false">SUM(AP40:AY40)</f>
        <v>100</v>
      </c>
      <c r="BA40" s="148"/>
      <c r="BB40" s="143" t="n">
        <f aca="false">(AP40+AQ40+AV40+AW40+AX40)/(AR40+AS40+AU40+AT40+AY40+AJ18+AK18)</f>
        <v>0.10634581553154</v>
      </c>
      <c r="BC40" s="148"/>
      <c r="BD40" s="148"/>
      <c r="BE40" s="148"/>
      <c r="BF40" s="148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</row>
    <row r="41" customFormat="false" ht="12.8" hidden="false" customHeight="false" outlineLevel="0" collapsed="false">
      <c r="A41" s="38"/>
      <c r="B41" s="38"/>
      <c r="C41" s="41"/>
      <c r="D41" s="147"/>
      <c r="Q41" s="113"/>
      <c r="W41" s="41"/>
      <c r="X41" s="41"/>
      <c r="Y41" s="41"/>
      <c r="Z41" s="41"/>
      <c r="AA41" s="147"/>
      <c r="AB41" s="147"/>
      <c r="AC41" s="147"/>
      <c r="AD41" s="147"/>
      <c r="AE41" s="41"/>
      <c r="AF41" s="147"/>
      <c r="AG41" s="147"/>
      <c r="AH41" s="147"/>
      <c r="AI41" s="147"/>
      <c r="AL41" s="147"/>
      <c r="AM41" s="154"/>
      <c r="AN41" s="154"/>
      <c r="AO41" s="138" t="n">
        <v>1250</v>
      </c>
      <c r="AP41" s="156" t="n">
        <f aca="false">AR19*100/BB19</f>
        <v>2.11331518215998</v>
      </c>
      <c r="AQ41" s="156" t="n">
        <f aca="false">AS19*100/BB19</f>
        <v>4.69337482172953</v>
      </c>
      <c r="AR41" s="156" t="n">
        <f aca="false">AT19*100/BB19</f>
        <v>9.45832189247779</v>
      </c>
      <c r="AS41" s="156" t="n">
        <f aca="false">AU19*100/BB19</f>
        <v>79.7935904632852</v>
      </c>
      <c r="AT41" s="157" t="n">
        <f aca="false">AV19*100/BB19</f>
        <v>0.842733048100607</v>
      </c>
      <c r="AU41" s="157" t="n">
        <f aca="false">AW19*100/BB19</f>
        <v>0.661221314663553</v>
      </c>
      <c r="AV41" s="158" t="n">
        <f aca="false">AX19*100/BB19</f>
        <v>0</v>
      </c>
      <c r="AW41" s="159" t="n">
        <f aca="false">AY19*100/BB19</f>
        <v>0.920523791002201</v>
      </c>
      <c r="AX41" s="159" t="n">
        <f aca="false">AZ19*100/BB19</f>
        <v>1.51691948658109</v>
      </c>
      <c r="AY41" s="159" t="n">
        <f aca="false">BA19*100/BB19</f>
        <v>0</v>
      </c>
      <c r="AZ41" s="159" t="n">
        <f aca="false">SUM(AP41:AY41)</f>
        <v>100</v>
      </c>
      <c r="BA41" s="148"/>
      <c r="BB41" s="143" t="n">
        <f aca="false">(AP41+AQ41+AV41+AW41+AX41)/(AR41+AS41+AU41+AT41+AY41+AJ19+AK19)</f>
        <v>0.101857142857143</v>
      </c>
      <c r="BC41" s="148"/>
      <c r="BD41" s="148"/>
      <c r="BE41" s="148"/>
      <c r="BF41" s="148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</row>
    <row r="42" customFormat="false" ht="14.25" hidden="false" customHeight="true" outlineLevel="0" collapsed="false">
      <c r="A42" s="38"/>
      <c r="B42" s="144"/>
      <c r="C42" s="145" t="s">
        <v>27</v>
      </c>
      <c r="D42" s="145" t="s">
        <v>28</v>
      </c>
      <c r="E42" s="11" t="s">
        <v>32</v>
      </c>
      <c r="F42" s="11" t="s">
        <v>33</v>
      </c>
      <c r="G42" s="145" t="s">
        <v>31</v>
      </c>
      <c r="H42" s="145" t="s">
        <v>30</v>
      </c>
      <c r="I42" s="145" t="s">
        <v>56</v>
      </c>
      <c r="Q42" s="113"/>
      <c r="R42" s="147"/>
      <c r="S42" s="147"/>
      <c r="T42" s="147"/>
      <c r="U42" s="41"/>
      <c r="V42" s="41"/>
      <c r="W42" s="41"/>
      <c r="X42" s="41"/>
      <c r="Y42" s="41"/>
      <c r="Z42" s="41"/>
      <c r="AA42" s="147"/>
      <c r="AB42" s="147"/>
      <c r="AC42" s="147"/>
      <c r="AD42" s="147"/>
      <c r="AE42" s="41"/>
      <c r="AF42" s="147"/>
      <c r="AG42" s="147"/>
      <c r="AH42" s="147"/>
      <c r="AI42" s="147"/>
      <c r="AL42" s="147"/>
      <c r="AM42" s="154"/>
      <c r="AN42" s="154"/>
      <c r="AO42" s="138" t="n">
        <v>1300</v>
      </c>
      <c r="AP42" s="156" t="n">
        <f aca="false">AR20*100/BB20</f>
        <v>2.03419443404467</v>
      </c>
      <c r="AQ42" s="156" t="n">
        <f aca="false">AS20*100/BB20</f>
        <v>4.51765880444277</v>
      </c>
      <c r="AR42" s="156" t="n">
        <f aca="false">AT20*100/BB20</f>
        <v>11.7921371996468</v>
      </c>
      <c r="AS42" s="156" t="n">
        <f aca="false">AU20*100/BB20</f>
        <v>77.8621745437701</v>
      </c>
      <c r="AT42" s="157" t="n">
        <f aca="false">AV20*100/BB20</f>
        <v>0.811181829527017</v>
      </c>
      <c r="AU42" s="157" t="n">
        <f aca="false">AW20*100/BB20</f>
        <v>0.636465743167352</v>
      </c>
      <c r="AV42" s="158" t="n">
        <f aca="false">AX20*100/BB20</f>
        <v>0</v>
      </c>
      <c r="AW42" s="159" t="n">
        <f aca="false">AY20*100/BB20</f>
        <v>0.886060152252587</v>
      </c>
      <c r="AX42" s="159" t="n">
        <f aca="false">AZ20*100/BB20</f>
        <v>1.46012729314863</v>
      </c>
      <c r="AY42" s="159" t="n">
        <f aca="false">BA20*100/BB20</f>
        <v>0</v>
      </c>
      <c r="AZ42" s="159" t="n">
        <f aca="false">SUM(AP42:AY42)</f>
        <v>100</v>
      </c>
      <c r="BA42" s="148"/>
      <c r="BB42" s="143" t="n">
        <f aca="false">(AP42+AQ42+AV42+AW42+AX42)/(AR42+AS42+AU42+AT42+AY42+AJ20+AK20)</f>
        <v>0.0976712328767121</v>
      </c>
      <c r="BC42" s="148"/>
      <c r="BD42" s="148"/>
      <c r="BE42" s="148"/>
      <c r="BF42" s="148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</row>
    <row r="43" customFormat="false" ht="12.8" hidden="false" customHeight="false" outlineLevel="0" collapsed="false">
      <c r="A43" s="41"/>
      <c r="B43" s="11" t="n">
        <v>1100</v>
      </c>
      <c r="C43" s="146" t="n">
        <v>0</v>
      </c>
      <c r="D43" s="146" t="n">
        <v>0</v>
      </c>
      <c r="E43" s="146" t="n">
        <v>0</v>
      </c>
      <c r="F43" s="146" t="n">
        <v>0</v>
      </c>
      <c r="G43" s="146" t="n">
        <f aca="false">P16+AF16</f>
        <v>23</v>
      </c>
      <c r="H43" s="146" t="n">
        <f aca="false">O16+AE16</f>
        <v>8.82051282051282</v>
      </c>
      <c r="I43" s="74" t="n">
        <f aca="false">100-C43-D43-E43-F43-G43-H43</f>
        <v>68.1794871794872</v>
      </c>
      <c r="J43" s="41"/>
      <c r="K43" s="147"/>
      <c r="L43" s="147"/>
      <c r="M43" s="147"/>
      <c r="N43" s="147"/>
      <c r="O43" s="41"/>
      <c r="Q43" s="113"/>
      <c r="R43" s="147"/>
      <c r="S43" s="147"/>
      <c r="T43" s="147"/>
      <c r="U43" s="41"/>
      <c r="V43" s="41"/>
      <c r="W43" s="41"/>
      <c r="X43" s="41"/>
      <c r="Y43" s="41"/>
      <c r="Z43" s="41"/>
      <c r="AA43" s="147"/>
      <c r="AB43" s="147"/>
      <c r="AC43" s="147"/>
      <c r="AD43" s="147"/>
      <c r="AE43" s="41"/>
      <c r="AF43" s="147"/>
      <c r="AG43" s="147"/>
      <c r="AH43" s="147"/>
      <c r="AI43" s="147"/>
      <c r="AL43" s="147"/>
      <c r="AM43" s="154"/>
      <c r="AN43" s="154"/>
      <c r="AO43" s="160" t="n">
        <v>1350</v>
      </c>
      <c r="AP43" s="156" t="n">
        <f aca="false">AR21*100/BB21</f>
        <v>1.98465846828199</v>
      </c>
      <c r="AQ43" s="156" t="n">
        <f aca="false">AS21*100/BB21</f>
        <v>4.40764641422135</v>
      </c>
      <c r="AR43" s="156" t="n">
        <f aca="false">AT21*100/BB21</f>
        <v>13.2532936965984</v>
      </c>
      <c r="AS43" s="156" t="n">
        <f aca="false">AU21*100/BB21</f>
        <v>76.6529524984582</v>
      </c>
      <c r="AT43" s="157" t="n">
        <f aca="false">AV21*100/BB21</f>
        <v>0.791428223548032</v>
      </c>
      <c r="AU43" s="157" t="n">
        <f aca="false">AW21*100/BB21</f>
        <v>0.62096676001461</v>
      </c>
      <c r="AV43" s="158" t="n">
        <f aca="false">AX21*100/BB21</f>
        <v>0</v>
      </c>
      <c r="AW43" s="159" t="n">
        <f aca="false">AY21*100/BB21</f>
        <v>0.864483136490927</v>
      </c>
      <c r="AX43" s="159" t="n">
        <f aca="false">AZ21*100/BB21</f>
        <v>1.42457080238646</v>
      </c>
      <c r="AY43" s="159" t="n">
        <f aca="false">BA21*100/BB21</f>
        <v>0</v>
      </c>
      <c r="AZ43" s="159" t="n">
        <f aca="false">SUM(AP43:AY43)</f>
        <v>100</v>
      </c>
      <c r="BA43" s="148"/>
      <c r="BB43" s="143" t="n">
        <f aca="false">(AP43+AQ43+AV43+AW43+AX43)/(AR43+AS43+AU43+AT43+AY43+AJ21+AK21)</f>
        <v>0.0950666666666664</v>
      </c>
      <c r="BC43" s="148"/>
      <c r="BD43" s="148"/>
      <c r="BE43" s="148"/>
      <c r="BF43" s="148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</row>
    <row r="44" customFormat="false" ht="13.5" hidden="false" customHeight="true" outlineLevel="0" collapsed="false">
      <c r="A44" s="41"/>
      <c r="B44" s="11" t="n">
        <v>1150</v>
      </c>
      <c r="C44" s="146" t="n">
        <v>0</v>
      </c>
      <c r="D44" s="146" t="n">
        <v>0</v>
      </c>
      <c r="E44" s="146" t="n">
        <v>0</v>
      </c>
      <c r="F44" s="146" t="n">
        <v>0</v>
      </c>
      <c r="G44" s="146" t="n">
        <f aca="false">P17+AF17</f>
        <v>22.6</v>
      </c>
      <c r="H44" s="146" t="n">
        <f aca="false">O17+AE17</f>
        <v>4.82051282051282</v>
      </c>
      <c r="I44" s="74" t="n">
        <f aca="false">100-C44-D44-E44-F44-G44-H44</f>
        <v>72.5794871794872</v>
      </c>
      <c r="J44" s="41"/>
      <c r="K44" s="147"/>
      <c r="L44" s="147"/>
      <c r="M44" s="147"/>
      <c r="N44" s="147"/>
      <c r="O44" s="41"/>
      <c r="P44" s="147"/>
      <c r="Q44" s="147"/>
      <c r="R44" s="147"/>
      <c r="S44" s="147"/>
      <c r="T44" s="147"/>
      <c r="U44" s="41"/>
      <c r="V44" s="41"/>
      <c r="W44" s="41"/>
      <c r="X44" s="41"/>
      <c r="Y44" s="41"/>
      <c r="Z44" s="41"/>
      <c r="AA44" s="147"/>
      <c r="AB44" s="147"/>
      <c r="AC44" s="147"/>
      <c r="AD44" s="147"/>
      <c r="AE44" s="41"/>
      <c r="AF44" s="147"/>
      <c r="AG44" s="147"/>
      <c r="AH44" s="147"/>
      <c r="AI44" s="147"/>
      <c r="AL44" s="147"/>
      <c r="AM44" s="148"/>
      <c r="AN44" s="148"/>
      <c r="AO44" s="148"/>
      <c r="AP44" s="148"/>
      <c r="AQ44" s="148"/>
      <c r="AR44" s="148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</row>
    <row r="45" customFormat="false" ht="12.8" hidden="false" customHeight="false" outlineLevel="0" collapsed="false">
      <c r="A45" s="41"/>
      <c r="B45" s="11" t="n">
        <v>1200</v>
      </c>
      <c r="C45" s="146" t="n">
        <v>0</v>
      </c>
      <c r="D45" s="146" t="n">
        <v>0</v>
      </c>
      <c r="E45" s="146" t="n">
        <v>0</v>
      </c>
      <c r="F45" s="146" t="n">
        <v>0</v>
      </c>
      <c r="G45" s="146" t="n">
        <f aca="false">P18+AF18</f>
        <v>22.2</v>
      </c>
      <c r="H45" s="146" t="n">
        <f aca="false">O18+AE18</f>
        <v>2.75457875457875</v>
      </c>
      <c r="I45" s="74" t="n">
        <f aca="false">100-C45-D45-E45-F45-G45-H45</f>
        <v>75.0454212454212</v>
      </c>
      <c r="J45" s="41"/>
      <c r="K45" s="147"/>
      <c r="L45" s="147"/>
      <c r="M45" s="147"/>
      <c r="N45" s="147"/>
      <c r="O45" s="41"/>
      <c r="P45" s="147"/>
      <c r="Q45" s="147"/>
      <c r="R45" s="147"/>
      <c r="S45" s="147"/>
      <c r="T45" s="147"/>
      <c r="U45" s="41"/>
      <c r="V45" s="41"/>
      <c r="W45" s="41"/>
      <c r="X45" s="41"/>
      <c r="Y45" s="41"/>
      <c r="Z45" s="41"/>
      <c r="AA45" s="147"/>
      <c r="AB45" s="147"/>
      <c r="AC45" s="147"/>
      <c r="AD45" s="147"/>
      <c r="AE45" s="41"/>
      <c r="AF45" s="147"/>
      <c r="AG45" s="147"/>
      <c r="AH45" s="147"/>
      <c r="AI45" s="147"/>
      <c r="AL45" s="147"/>
      <c r="AM45" s="148"/>
      <c r="AN45" s="148"/>
      <c r="AO45" s="148"/>
      <c r="AP45" s="148"/>
      <c r="AQ45" s="148"/>
      <c r="AR45" s="148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</row>
    <row r="46" customFormat="false" ht="12.8" hidden="false" customHeight="false" outlineLevel="0" collapsed="false">
      <c r="A46" s="41"/>
      <c r="B46" s="11" t="n">
        <v>1250</v>
      </c>
      <c r="C46" s="146" t="n">
        <v>0</v>
      </c>
      <c r="D46" s="146" t="n">
        <v>0</v>
      </c>
      <c r="E46" s="146" t="n">
        <v>0</v>
      </c>
      <c r="F46" s="146" t="n">
        <v>0</v>
      </c>
      <c r="G46" s="146" t="n">
        <f aca="false">P19+AF19</f>
        <v>22</v>
      </c>
      <c r="H46" s="146" t="n">
        <f aca="false">O19+AE19</f>
        <v>0</v>
      </c>
      <c r="I46" s="74" t="n">
        <f aca="false">100-C46-D46-E46-F46-G46-H46</f>
        <v>78</v>
      </c>
      <c r="J46" s="41"/>
      <c r="K46" s="147"/>
      <c r="L46" s="147"/>
      <c r="M46" s="147"/>
      <c r="N46" s="147"/>
      <c r="O46" s="41"/>
      <c r="P46" s="147"/>
      <c r="Q46" s="147"/>
      <c r="R46" s="147"/>
      <c r="S46" s="147"/>
      <c r="T46" s="147"/>
      <c r="U46" s="41"/>
      <c r="V46" s="41"/>
      <c r="W46" s="41"/>
      <c r="X46" s="41"/>
      <c r="Y46" s="41"/>
      <c r="Z46" s="41"/>
      <c r="AA46" s="147"/>
      <c r="AB46" s="147"/>
      <c r="AC46" s="147"/>
      <c r="AD46" s="147"/>
      <c r="AE46" s="41"/>
      <c r="AF46" s="147"/>
      <c r="AG46" s="147"/>
      <c r="AH46" s="147"/>
      <c r="AI46" s="147"/>
      <c r="AL46" s="147"/>
      <c r="AM46" s="148"/>
      <c r="AN46" s="148"/>
      <c r="AO46" s="148"/>
      <c r="AP46" s="148"/>
      <c r="AQ46" s="148"/>
      <c r="AR46" s="148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</row>
    <row r="47" customFormat="false" ht="13.5" hidden="false" customHeight="true" outlineLevel="0" collapsed="false">
      <c r="A47" s="41"/>
      <c r="B47" s="11" t="n">
        <v>1300</v>
      </c>
      <c r="C47" s="146" t="n">
        <v>0</v>
      </c>
      <c r="D47" s="146" t="n">
        <v>0</v>
      </c>
      <c r="E47" s="146" t="n">
        <v>0</v>
      </c>
      <c r="F47" s="146" t="n">
        <v>0</v>
      </c>
      <c r="G47" s="146" t="n">
        <f aca="false">P20+AF20</f>
        <v>19</v>
      </c>
      <c r="H47" s="146" t="n">
        <f aca="false">O20+AE20</f>
        <v>0</v>
      </c>
      <c r="I47" s="74" t="n">
        <f aca="false">100-C47-D47-E47-F47-G47-H47</f>
        <v>81</v>
      </c>
      <c r="J47" s="41"/>
      <c r="K47" s="147"/>
      <c r="L47" s="147"/>
      <c r="M47" s="147"/>
      <c r="N47" s="147"/>
      <c r="O47" s="41"/>
      <c r="P47" s="147"/>
      <c r="Q47" s="147"/>
      <c r="R47" s="147"/>
      <c r="S47" s="147"/>
      <c r="T47" s="147"/>
      <c r="U47" s="41"/>
      <c r="V47" s="41"/>
      <c r="W47" s="41"/>
      <c r="X47" s="41"/>
      <c r="Y47" s="41"/>
      <c r="Z47" s="41"/>
      <c r="AA47" s="147"/>
      <c r="AB47" s="147"/>
      <c r="AC47" s="147"/>
      <c r="AD47" s="147"/>
      <c r="AE47" s="41"/>
      <c r="AF47" s="147"/>
      <c r="AG47" s="147"/>
      <c r="AH47" s="147"/>
      <c r="AI47" s="147"/>
      <c r="AL47" s="147"/>
      <c r="AM47" s="148"/>
      <c r="AN47" s="148"/>
      <c r="AO47" s="148"/>
      <c r="AP47" s="148"/>
      <c r="AQ47" s="148"/>
      <c r="AR47" s="148"/>
    </row>
    <row r="48" customFormat="false" ht="12.8" hidden="false" customHeight="false" outlineLevel="0" collapsed="false">
      <c r="A48" s="41"/>
      <c r="B48" s="11" t="n">
        <v>1350</v>
      </c>
      <c r="C48" s="146" t="n">
        <v>0</v>
      </c>
      <c r="D48" s="146" t="n">
        <v>0</v>
      </c>
      <c r="E48" s="146" t="n">
        <v>0</v>
      </c>
      <c r="F48" s="146" t="n">
        <v>0</v>
      </c>
      <c r="G48" s="146" t="n">
        <f aca="false">P21+AF21</f>
        <v>17</v>
      </c>
      <c r="H48" s="146" t="n">
        <f aca="false">O21+AE21</f>
        <v>0</v>
      </c>
      <c r="I48" s="74" t="n">
        <f aca="false">100-C48-D48-E48-F48-G48-H48</f>
        <v>83</v>
      </c>
      <c r="J48" s="41"/>
      <c r="K48" s="147"/>
      <c r="L48" s="147"/>
      <c r="M48" s="147"/>
      <c r="N48" s="147"/>
      <c r="O48" s="41"/>
      <c r="P48" s="147"/>
      <c r="Q48" s="147"/>
      <c r="R48" s="147"/>
      <c r="S48" s="147"/>
      <c r="T48" s="147"/>
      <c r="U48" s="41"/>
      <c r="V48" s="41"/>
      <c r="W48" s="41"/>
      <c r="X48" s="41"/>
      <c r="Y48" s="41"/>
      <c r="Z48" s="41"/>
      <c r="AA48" s="147"/>
      <c r="AB48" s="147"/>
      <c r="AC48" s="147"/>
      <c r="AD48" s="147"/>
      <c r="AE48" s="41"/>
      <c r="AF48" s="147"/>
      <c r="AG48" s="147"/>
      <c r="AH48" s="147"/>
      <c r="AI48" s="147"/>
      <c r="AL48" s="147"/>
      <c r="AM48" s="148"/>
      <c r="AN48" s="148"/>
      <c r="AO48" s="148"/>
      <c r="AP48" s="148"/>
      <c r="AQ48" s="148"/>
      <c r="AR48" s="148"/>
    </row>
    <row r="50" customFormat="false" ht="12.75" hidden="false" customHeight="true" outlineLevel="0" collapsed="false"/>
  </sheetData>
  <mergeCells count="44">
    <mergeCell ref="E2:Y2"/>
    <mergeCell ref="A5:A9"/>
    <mergeCell ref="B5:S6"/>
    <mergeCell ref="T5:AI6"/>
    <mergeCell ref="AJ5:AM8"/>
    <mergeCell ref="AN5:AQ8"/>
    <mergeCell ref="AR5:BB8"/>
    <mergeCell ref="B7:B9"/>
    <mergeCell ref="C7:C9"/>
    <mergeCell ref="D7:D9"/>
    <mergeCell ref="E7:E9"/>
    <mergeCell ref="F7:J8"/>
    <mergeCell ref="K7:K9"/>
    <mergeCell ref="L7:P8"/>
    <mergeCell ref="Q7:S8"/>
    <mergeCell ref="T7:T9"/>
    <mergeCell ref="U7:U9"/>
    <mergeCell ref="V7:Z8"/>
    <mergeCell ref="AA7:AA9"/>
    <mergeCell ref="AC7:AF8"/>
    <mergeCell ref="AG7:AI8"/>
    <mergeCell ref="A10:A15"/>
    <mergeCell ref="A16:A21"/>
    <mergeCell ref="C23:H23"/>
    <mergeCell ref="C24:H24"/>
    <mergeCell ref="C25:H25"/>
    <mergeCell ref="C26:H26"/>
    <mergeCell ref="C27:H27"/>
    <mergeCell ref="C28:H28"/>
    <mergeCell ref="C29:H29"/>
    <mergeCell ref="AN29:AY29"/>
    <mergeCell ref="C30:H30"/>
    <mergeCell ref="AM30:AN31"/>
    <mergeCell ref="AO30:AO31"/>
    <mergeCell ref="AP30:AY30"/>
    <mergeCell ref="AZ30:AZ31"/>
    <mergeCell ref="C31:H31"/>
    <mergeCell ref="AM32:AN37"/>
    <mergeCell ref="A36:A37"/>
    <mergeCell ref="A38:A42"/>
    <mergeCell ref="AM38:AN43"/>
    <mergeCell ref="A43:A44"/>
    <mergeCell ref="A45:A46"/>
    <mergeCell ref="A47:A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R4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T10" activeCellId="1" sqref="E2:Y2 T10"/>
    </sheetView>
  </sheetViews>
  <sheetFormatPr defaultRowHeight="12.75"/>
  <cols>
    <col collapsed="false" hidden="false" max="1" min="1" style="0" width="18.1428571428571"/>
    <col collapsed="false" hidden="false" max="3" min="2" style="0" width="9.14285714285714"/>
    <col collapsed="false" hidden="false" max="4" min="4" style="0" width="10.5765306122449"/>
    <col collapsed="false" hidden="false" max="8" min="5" style="0" width="9.14285714285714"/>
    <col collapsed="false" hidden="false" max="9" min="9" style="0" width="10.5765306122449"/>
    <col collapsed="false" hidden="false" max="10" min="10" style="0" width="9.5765306122449"/>
    <col collapsed="false" hidden="false" max="11" min="11" style="0" width="12.7091836734694"/>
    <col collapsed="false" hidden="false" max="12" min="12" style="0" width="9.85204081632653"/>
    <col collapsed="false" hidden="false" max="13" min="13" style="0" width="9.4234693877551"/>
    <col collapsed="false" hidden="false" max="14" min="14" style="0" width="9.14285714285714"/>
    <col collapsed="false" hidden="false" max="15" min="15" style="0" width="10"/>
    <col collapsed="false" hidden="false" max="16" min="16" style="0" width="9.14285714285714"/>
    <col collapsed="false" hidden="false" max="18" min="17" style="0" width="11.5714285714286"/>
    <col collapsed="false" hidden="false" max="19" min="19" style="0" width="9.14285714285714"/>
    <col collapsed="false" hidden="false" max="20" min="20" style="0" width="10.2857142857143"/>
    <col collapsed="false" hidden="false" max="26" min="21" style="0" width="9.14285714285714"/>
    <col collapsed="false" hidden="false" max="28" min="27" style="0" width="12.7091836734694"/>
    <col collapsed="false" hidden="false" max="45" min="29" style="0" width="9.14285714285714"/>
    <col collapsed="false" hidden="false" max="47" min="46" style="0" width="10"/>
    <col collapsed="false" hidden="false" max="1025" min="48" style="0" width="9.14285714285714"/>
  </cols>
  <sheetData>
    <row r="2" customFormat="false" ht="15.75" hidden="false" customHeight="false" outlineLevel="0" collapsed="false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false" outlineLevel="0" collapsed="false">
      <c r="AQ3" s="2"/>
      <c r="AX3" s="2"/>
    </row>
    <row r="4" customFormat="false" ht="13.5" hidden="false" customHeight="false" outlineLevel="0" collapsed="false"/>
    <row r="5" customFormat="false" ht="12.75" hidden="false" customHeight="true" outlineLevel="0" collapsed="false">
      <c r="A5" s="3" t="s">
        <v>1</v>
      </c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 t="s">
        <v>3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 t="s">
        <v>4</v>
      </c>
      <c r="AK5" s="6"/>
      <c r="AL5" s="6"/>
      <c r="AM5" s="6"/>
      <c r="AN5" s="7" t="s">
        <v>5</v>
      </c>
      <c r="AO5" s="7"/>
      <c r="AP5" s="7"/>
      <c r="AQ5" s="7"/>
      <c r="AR5" s="8" t="s">
        <v>6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9"/>
      <c r="BE5" s="10" t="s">
        <v>7</v>
      </c>
      <c r="BF5" s="10" t="s">
        <v>8</v>
      </c>
      <c r="BG5" s="10" t="s">
        <v>9</v>
      </c>
      <c r="BH5" s="10" t="s">
        <v>10</v>
      </c>
      <c r="BI5" s="10" t="s">
        <v>11</v>
      </c>
      <c r="BJ5" s="10" t="s">
        <v>12</v>
      </c>
      <c r="BK5" s="10" t="s">
        <v>13</v>
      </c>
      <c r="BL5" s="10" t="s">
        <v>14</v>
      </c>
      <c r="BM5" s="10" t="s">
        <v>15</v>
      </c>
      <c r="BN5" s="10" t="s">
        <v>16</v>
      </c>
      <c r="BO5" s="11" t="s">
        <v>17</v>
      </c>
    </row>
    <row r="6" customFormat="false" ht="13.5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6"/>
      <c r="AL6" s="6"/>
      <c r="AM6" s="6"/>
      <c r="AN6" s="7"/>
      <c r="AO6" s="7"/>
      <c r="AP6" s="7"/>
      <c r="AQ6" s="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  <c r="BE6" s="12" t="n">
        <v>80.03</v>
      </c>
      <c r="BF6" s="12" t="n">
        <v>15.04</v>
      </c>
      <c r="BG6" s="12" t="n">
        <v>0.2</v>
      </c>
      <c r="BH6" s="12" t="n">
        <v>0.2</v>
      </c>
      <c r="BI6" s="12" t="n">
        <v>0.38</v>
      </c>
      <c r="BJ6" s="12" t="n">
        <v>0.05</v>
      </c>
      <c r="BK6" s="12" t="n">
        <v>0.05</v>
      </c>
      <c r="BL6" s="12" t="n">
        <v>0.1</v>
      </c>
      <c r="BM6" s="12" t="n">
        <v>0.12</v>
      </c>
      <c r="BN6" s="12" t="n">
        <v>0.09</v>
      </c>
      <c r="BO6" s="12" t="n">
        <f aca="false">SUM(BE6:BN6)</f>
        <v>96.26</v>
      </c>
    </row>
    <row r="7" customFormat="false" ht="38.25" hidden="false" customHeight="true" outlineLevel="0" collapsed="false">
      <c r="A7" s="3"/>
      <c r="B7" s="13" t="s">
        <v>18</v>
      </c>
      <c r="C7" s="14" t="s">
        <v>19</v>
      </c>
      <c r="D7" s="14" t="s">
        <v>20</v>
      </c>
      <c r="E7" s="3" t="s">
        <v>21</v>
      </c>
      <c r="F7" s="3" t="s">
        <v>22</v>
      </c>
      <c r="G7" s="3"/>
      <c r="H7" s="3"/>
      <c r="I7" s="3"/>
      <c r="J7" s="3"/>
      <c r="K7" s="15" t="s">
        <v>23</v>
      </c>
      <c r="L7" s="16" t="s">
        <v>24</v>
      </c>
      <c r="M7" s="16"/>
      <c r="N7" s="16"/>
      <c r="O7" s="16"/>
      <c r="P7" s="16"/>
      <c r="Q7" s="16" t="s">
        <v>25</v>
      </c>
      <c r="R7" s="16"/>
      <c r="S7" s="16"/>
      <c r="T7" s="14" t="s">
        <v>26</v>
      </c>
      <c r="U7" s="3" t="s">
        <v>21</v>
      </c>
      <c r="V7" s="3" t="s">
        <v>22</v>
      </c>
      <c r="W7" s="3"/>
      <c r="X7" s="3"/>
      <c r="Y7" s="3"/>
      <c r="Z7" s="3"/>
      <c r="AA7" s="17" t="s">
        <v>23</v>
      </c>
      <c r="AB7" s="18"/>
      <c r="AC7" s="19" t="s">
        <v>24</v>
      </c>
      <c r="AD7" s="19"/>
      <c r="AE7" s="19"/>
      <c r="AF7" s="19"/>
      <c r="AG7" s="20" t="s">
        <v>25</v>
      </c>
      <c r="AH7" s="20"/>
      <c r="AI7" s="20"/>
      <c r="AJ7" s="6"/>
      <c r="AK7" s="6"/>
      <c r="AL7" s="6"/>
      <c r="AM7" s="6"/>
      <c r="AN7" s="7"/>
      <c r="AO7" s="7"/>
      <c r="AP7" s="7"/>
      <c r="AQ7" s="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E7" s="21" t="n">
        <f aca="false">BE6*100/$BO$6</f>
        <v>83.1394140868481</v>
      </c>
      <c r="BF7" s="21" t="n">
        <f aca="false">BF6*100/$BO$6</f>
        <v>15.6243507168086</v>
      </c>
      <c r="BG7" s="21" t="n">
        <f aca="false">BG6*100/$BO$6</f>
        <v>0.207770621234157</v>
      </c>
      <c r="BH7" s="21" t="n">
        <f aca="false">BH6*100/$BO$6</f>
        <v>0.207770621234157</v>
      </c>
      <c r="BI7" s="21" t="n">
        <f aca="false">BI6*100/$BO$6</f>
        <v>0.394764180344899</v>
      </c>
      <c r="BJ7" s="21" t="n">
        <f aca="false">BJ6*100/$BO$6</f>
        <v>0.0519426553085394</v>
      </c>
      <c r="BK7" s="21" t="n">
        <f aca="false">BK6*100/$BO$6</f>
        <v>0.0519426553085394</v>
      </c>
      <c r="BL7" s="21" t="n">
        <f aca="false">BL6*100/$BO$6</f>
        <v>0.103885310617079</v>
      </c>
      <c r="BM7" s="21" t="n">
        <f aca="false">BM6*100/$BO$6</f>
        <v>0.124662372740495</v>
      </c>
      <c r="BN7" s="21" t="n">
        <f aca="false">BN6*100/$BO$6</f>
        <v>0.0934967795553709</v>
      </c>
      <c r="BO7" s="12" t="n">
        <f aca="false">SUM(BE7:BN7)</f>
        <v>100</v>
      </c>
    </row>
    <row r="8" customFormat="false" ht="13.5" hidden="false" customHeight="true" outlineLevel="0" collapsed="false">
      <c r="A8" s="3"/>
      <c r="B8" s="13"/>
      <c r="C8" s="14"/>
      <c r="D8" s="14"/>
      <c r="E8" s="3"/>
      <c r="F8" s="3"/>
      <c r="G8" s="3"/>
      <c r="H8" s="3"/>
      <c r="I8" s="3"/>
      <c r="J8" s="3"/>
      <c r="K8" s="15"/>
      <c r="L8" s="16"/>
      <c r="M8" s="16"/>
      <c r="N8" s="16"/>
      <c r="O8" s="16"/>
      <c r="P8" s="16"/>
      <c r="Q8" s="16"/>
      <c r="R8" s="16"/>
      <c r="S8" s="16"/>
      <c r="T8" s="14"/>
      <c r="U8" s="3"/>
      <c r="V8" s="3"/>
      <c r="W8" s="3"/>
      <c r="X8" s="3"/>
      <c r="Y8" s="3"/>
      <c r="Z8" s="3"/>
      <c r="AA8" s="17"/>
      <c r="AB8" s="22"/>
      <c r="AC8" s="19"/>
      <c r="AD8" s="19"/>
      <c r="AE8" s="19"/>
      <c r="AF8" s="19"/>
      <c r="AG8" s="20"/>
      <c r="AH8" s="20"/>
      <c r="AI8" s="20"/>
      <c r="AJ8" s="6"/>
      <c r="AK8" s="6"/>
      <c r="AL8" s="6"/>
      <c r="AM8" s="6"/>
      <c r="AN8" s="7"/>
      <c r="AO8" s="7"/>
      <c r="AP8" s="7"/>
      <c r="AQ8" s="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</row>
    <row r="9" customFormat="false" ht="15" hidden="false" customHeight="false" outlineLevel="0" collapsed="false">
      <c r="A9" s="3"/>
      <c r="B9" s="13"/>
      <c r="C9" s="14"/>
      <c r="D9" s="14"/>
      <c r="E9" s="3"/>
      <c r="F9" s="23" t="s">
        <v>27</v>
      </c>
      <c r="G9" s="3" t="s">
        <v>28</v>
      </c>
      <c r="H9" s="24" t="s">
        <v>29</v>
      </c>
      <c r="I9" s="3" t="s">
        <v>30</v>
      </c>
      <c r="J9" s="25" t="s">
        <v>31</v>
      </c>
      <c r="K9" s="15"/>
      <c r="L9" s="26" t="s">
        <v>27</v>
      </c>
      <c r="M9" s="15" t="s">
        <v>28</v>
      </c>
      <c r="N9" s="27" t="s">
        <v>29</v>
      </c>
      <c r="O9" s="28" t="s">
        <v>30</v>
      </c>
      <c r="P9" s="15" t="s">
        <v>31</v>
      </c>
      <c r="Q9" s="29" t="s">
        <v>9</v>
      </c>
      <c r="R9" s="27" t="s">
        <v>8</v>
      </c>
      <c r="S9" s="27" t="s">
        <v>7</v>
      </c>
      <c r="T9" s="14"/>
      <c r="U9" s="3"/>
      <c r="V9" s="30" t="s">
        <v>27</v>
      </c>
      <c r="W9" s="31" t="s">
        <v>32</v>
      </c>
      <c r="X9" s="31" t="s">
        <v>33</v>
      </c>
      <c r="Y9" s="31" t="s">
        <v>30</v>
      </c>
      <c r="Z9" s="31" t="s">
        <v>31</v>
      </c>
      <c r="AA9" s="17"/>
      <c r="AB9" s="20" t="s">
        <v>27</v>
      </c>
      <c r="AC9" s="32" t="s">
        <v>32</v>
      </c>
      <c r="AD9" s="32" t="s">
        <v>33</v>
      </c>
      <c r="AE9" s="33" t="s">
        <v>30</v>
      </c>
      <c r="AF9" s="34" t="s">
        <v>31</v>
      </c>
      <c r="AG9" s="35" t="s">
        <v>34</v>
      </c>
      <c r="AH9" s="32" t="s">
        <v>8</v>
      </c>
      <c r="AI9" s="32" t="s">
        <v>7</v>
      </c>
      <c r="AJ9" s="36" t="s">
        <v>9</v>
      </c>
      <c r="AK9" s="36" t="s">
        <v>10</v>
      </c>
      <c r="AL9" s="36" t="s">
        <v>8</v>
      </c>
      <c r="AM9" s="36" t="s">
        <v>7</v>
      </c>
      <c r="AN9" s="37" t="s">
        <v>9</v>
      </c>
      <c r="AO9" s="37" t="s">
        <v>10</v>
      </c>
      <c r="AP9" s="37" t="s">
        <v>8</v>
      </c>
      <c r="AQ9" s="38" t="s">
        <v>7</v>
      </c>
      <c r="AR9" s="39" t="s">
        <v>9</v>
      </c>
      <c r="AS9" s="40" t="s">
        <v>10</v>
      </c>
      <c r="AT9" s="40" t="s">
        <v>8</v>
      </c>
      <c r="AU9" s="40" t="s">
        <v>7</v>
      </c>
      <c r="AV9" s="41" t="s">
        <v>11</v>
      </c>
      <c r="AW9" s="42" t="s">
        <v>12</v>
      </c>
      <c r="AX9" s="43" t="s">
        <v>13</v>
      </c>
      <c r="AY9" s="42" t="s">
        <v>14</v>
      </c>
      <c r="AZ9" s="44" t="s">
        <v>15</v>
      </c>
      <c r="BA9" s="44" t="s">
        <v>16</v>
      </c>
      <c r="BB9" s="45" t="s">
        <v>17</v>
      </c>
      <c r="BC9" s="46"/>
    </row>
    <row r="10" customFormat="false" ht="13.5" hidden="false" customHeight="true" outlineLevel="0" collapsed="false">
      <c r="A10" s="47" t="s">
        <v>35</v>
      </c>
      <c r="B10" s="48" t="n">
        <v>1100</v>
      </c>
      <c r="C10" s="49" t="n">
        <v>10.43</v>
      </c>
      <c r="D10" s="49" t="n">
        <f aca="false">1.68/C10</f>
        <v>0.161073825503356</v>
      </c>
      <c r="E10" s="50" t="n">
        <f aca="false">SUM(F10:J10)</f>
        <v>22.82</v>
      </c>
      <c r="F10" s="50" t="n">
        <v>21.82</v>
      </c>
      <c r="G10" s="50" t="n">
        <v>1</v>
      </c>
      <c r="H10" s="50" t="n">
        <v>0</v>
      </c>
      <c r="I10" s="31" t="n">
        <v>0</v>
      </c>
      <c r="J10" s="31" t="n">
        <v>0</v>
      </c>
      <c r="K10" s="51" t="n">
        <f aca="false">E10*D10</f>
        <v>3.67570469798658</v>
      </c>
      <c r="L10" s="51" t="n">
        <f aca="false">F10*D10</f>
        <v>3.51463087248322</v>
      </c>
      <c r="M10" s="51" t="n">
        <f aca="false">G10*D10</f>
        <v>0.161073825503356</v>
      </c>
      <c r="N10" s="51" t="n">
        <f aca="false">H10*D10</f>
        <v>0</v>
      </c>
      <c r="O10" s="51" t="n">
        <f aca="false">I10*D10</f>
        <v>0</v>
      </c>
      <c r="P10" s="51" t="n">
        <f aca="false">K10-L10-M10-N10-O10</f>
        <v>6.38378239159465E-016</v>
      </c>
      <c r="Q10" s="51" t="n">
        <f aca="false">N10*$I$26/100+M10*$I$25/100</f>
        <v>0.0351387311677852</v>
      </c>
      <c r="R10" s="51" t="n">
        <f aca="false">L10*$J$24/100+M10*$J$25/100+N10*$J$26/100+P10*$J$28/100</f>
        <v>3.57243722899329</v>
      </c>
      <c r="S10" s="51" t="n">
        <f aca="false">M10*$K$25/100+N10*$K$26/100+O10*$K$29/100+P10*$K$28/100</f>
        <v>0.0681287378255035</v>
      </c>
      <c r="T10" s="50" t="n">
        <f aca="false">8.75/C10</f>
        <v>0.838926174496644</v>
      </c>
      <c r="U10" s="50" t="n">
        <f aca="false">SUM(V10:Z10)</f>
        <v>100</v>
      </c>
      <c r="V10" s="50" t="n">
        <v>0</v>
      </c>
      <c r="W10" s="50" t="n">
        <v>45.55</v>
      </c>
      <c r="X10" s="50" t="n">
        <v>12.22</v>
      </c>
      <c r="Y10" s="50" t="n">
        <v>0</v>
      </c>
      <c r="Z10" s="50" t="n">
        <v>42.23</v>
      </c>
      <c r="AA10" s="52" t="n">
        <f aca="false">U10*T10</f>
        <v>83.8926174496644</v>
      </c>
      <c r="AB10" s="52" t="n">
        <f aca="false">V10*T10</f>
        <v>0</v>
      </c>
      <c r="AC10" s="52" t="n">
        <f aca="false">W10*T10</f>
        <v>38.2130872483221</v>
      </c>
      <c r="AD10" s="52" t="n">
        <f aca="false">X10*T10</f>
        <v>10.251677852349</v>
      </c>
      <c r="AE10" s="53" t="n">
        <f aca="false">Y10*T10</f>
        <v>0</v>
      </c>
      <c r="AF10" s="52" t="n">
        <f aca="false">AA10-AC10-AD10-AE10</f>
        <v>35.4278523489933</v>
      </c>
      <c r="AG10" s="52" t="n">
        <f aca="false">AC10*$L$27/100+AD10*$L$30/100</f>
        <v>8.67855839561027</v>
      </c>
      <c r="AH10" s="52" t="n">
        <f aca="false">AC10*$J$27/100+AD10*$J$30/100+AF10*$J$28/100+AB10*$J$24/100</f>
        <v>34.8291461029338</v>
      </c>
      <c r="AI10" s="52" t="n">
        <f aca="false">AC10*$K$27/100+AD10*$K$30/100+AE10*$K$29/100+AF10*$K$28/100</f>
        <v>40.384912951119</v>
      </c>
      <c r="AJ10" s="54" t="n">
        <f aca="false">Q10</f>
        <v>0.0351387311677852</v>
      </c>
      <c r="AK10" s="54" t="n">
        <f aca="false">AG10</f>
        <v>8.67855839561027</v>
      </c>
      <c r="AL10" s="54" t="n">
        <f aca="false">SUM(R10,AH10)</f>
        <v>38.4015833319271</v>
      </c>
      <c r="AM10" s="54" t="n">
        <f aca="false">SUM(S10,AI10)</f>
        <v>40.4530416889445</v>
      </c>
      <c r="AN10" s="49" t="n">
        <v>1.68</v>
      </c>
      <c r="AO10" s="49" t="n">
        <v>8.75</v>
      </c>
      <c r="AP10" s="49" t="n">
        <v>39.88</v>
      </c>
      <c r="AQ10" s="55" t="n">
        <v>47.15</v>
      </c>
      <c r="AR10" s="56" t="n">
        <f aca="false">AN10-AJ10</f>
        <v>1.64486126883221</v>
      </c>
      <c r="AS10" s="57" t="n">
        <f aca="false">AO10-AK10</f>
        <v>0.0714416043897295</v>
      </c>
      <c r="AT10" s="57" t="n">
        <f aca="false">AP10-AL10</f>
        <v>1.47841666807287</v>
      </c>
      <c r="AU10" s="58" t="n">
        <f aca="false">AQ10-AM10</f>
        <v>6.69695831105551</v>
      </c>
      <c r="AV10" s="59" t="n">
        <v>1.57</v>
      </c>
      <c r="AW10" s="59" t="n">
        <v>0.5</v>
      </c>
      <c r="AX10" s="59" t="n">
        <v>0.01</v>
      </c>
      <c r="AY10" s="59" t="n">
        <v>0.34</v>
      </c>
      <c r="AZ10" s="59" t="n">
        <v>0.01</v>
      </c>
      <c r="BA10" s="59" t="n">
        <v>0.11</v>
      </c>
      <c r="BB10" s="60" t="n">
        <f aca="false">SUM(AR10:BA10)</f>
        <v>12.4316778523503</v>
      </c>
      <c r="BC10" s="61"/>
      <c r="BE10" s="2"/>
    </row>
    <row r="11" customFormat="false" ht="13.5" hidden="false" customHeight="false" outlineLevel="0" collapsed="false">
      <c r="A11" s="47"/>
      <c r="B11" s="62" t="n">
        <v>1150</v>
      </c>
      <c r="C11" s="49" t="n">
        <v>10.43</v>
      </c>
      <c r="D11" s="49" t="n">
        <f aca="false">1.68/C11</f>
        <v>0.161073825503356</v>
      </c>
      <c r="E11" s="63" t="n">
        <f aca="false">SUM(F11:J11)</f>
        <v>20</v>
      </c>
      <c r="F11" s="63" t="n">
        <v>20</v>
      </c>
      <c r="G11" s="63" t="n">
        <v>0</v>
      </c>
      <c r="H11" s="63" t="n">
        <v>0</v>
      </c>
      <c r="I11" s="64" t="n">
        <v>0</v>
      </c>
      <c r="J11" s="64" t="n">
        <v>0</v>
      </c>
      <c r="K11" s="65" t="n">
        <f aca="false">E11*D11</f>
        <v>3.22147651006711</v>
      </c>
      <c r="L11" s="65" t="n">
        <f aca="false">F11*D11</f>
        <v>3.22147651006711</v>
      </c>
      <c r="M11" s="65" t="n">
        <f aca="false">G11*D11</f>
        <v>0</v>
      </c>
      <c r="N11" s="65" t="n">
        <f aca="false">H11*D11</f>
        <v>0</v>
      </c>
      <c r="O11" s="65" t="n">
        <f aca="false">I11*D11</f>
        <v>0</v>
      </c>
      <c r="P11" s="65" t="n">
        <f aca="false">K11-L11-M11-N11-O11</f>
        <v>0</v>
      </c>
      <c r="Q11" s="65" t="n">
        <f aca="false">N11*$I$26/100+M11*$I$25/100</f>
        <v>0</v>
      </c>
      <c r="R11" s="65" t="n">
        <f aca="false">L11*$J$24/100+M11*$J$25/100+N11*$J$26/100+P11*$J$28/100</f>
        <v>3.22147651006711</v>
      </c>
      <c r="S11" s="65" t="n">
        <f aca="false">M11*$K$25/100+N11*$K$26/100+O11*$K$29/100+P11*$K$28/100</f>
        <v>0</v>
      </c>
      <c r="T11" s="50" t="n">
        <f aca="false">8.75/C11</f>
        <v>0.838926174496644</v>
      </c>
      <c r="U11" s="50" t="n">
        <f aca="false">SUM(V11:Z11)</f>
        <v>75.9</v>
      </c>
      <c r="V11" s="63" t="n">
        <v>0</v>
      </c>
      <c r="W11" s="63" t="n">
        <v>0</v>
      </c>
      <c r="X11" s="63" t="n">
        <v>35.8</v>
      </c>
      <c r="Y11" s="63" t="n">
        <v>0</v>
      </c>
      <c r="Z11" s="63" t="n">
        <v>40.1</v>
      </c>
      <c r="AA11" s="66" t="n">
        <f aca="false">U11*T11</f>
        <v>63.6744966442953</v>
      </c>
      <c r="AB11" s="52" t="n">
        <f aca="false">V11*T11</f>
        <v>0</v>
      </c>
      <c r="AC11" s="66" t="n">
        <f aca="false">W11*T11</f>
        <v>0</v>
      </c>
      <c r="AD11" s="66" t="n">
        <f aca="false">X11*T11</f>
        <v>30.0335570469799</v>
      </c>
      <c r="AE11" s="67" t="n">
        <f aca="false">Y11*T11</f>
        <v>0</v>
      </c>
      <c r="AF11" s="66" t="n">
        <f aca="false">AA11-AC11-AD11-AE11</f>
        <v>33.6409395973154</v>
      </c>
      <c r="AG11" s="66" t="n">
        <f aca="false">AC11*$L$27/100+AD11*$L$30/100</f>
        <v>6.48127312433308</v>
      </c>
      <c r="AH11" s="52" t="n">
        <f aca="false">AC11*$J$27/100+AD11*$J$30/100+AF11*$J$28/100+AB11*$J$24/100</f>
        <v>31.16784453759</v>
      </c>
      <c r="AI11" s="66" t="n">
        <f aca="false">AC11*$K$27/100+AD11*$K$30/100+AE11*$K$29/100+AF11*$K$28/100</f>
        <v>26.0253789823713</v>
      </c>
      <c r="AJ11" s="68" t="n">
        <f aca="false">Q11</f>
        <v>0</v>
      </c>
      <c r="AK11" s="68" t="n">
        <f aca="false">AG11</f>
        <v>6.48127312433308</v>
      </c>
      <c r="AL11" s="68" t="n">
        <f aca="false">SUM(R11,AH11)</f>
        <v>34.3893210476571</v>
      </c>
      <c r="AM11" s="68" t="n">
        <f aca="false">SUM(S11,AI11)</f>
        <v>26.0253789823713</v>
      </c>
      <c r="AN11" s="69" t="n">
        <v>1.68</v>
      </c>
      <c r="AO11" s="69" t="n">
        <v>8.75</v>
      </c>
      <c r="AP11" s="69" t="n">
        <v>39.88</v>
      </c>
      <c r="AQ11" s="70" t="n">
        <v>47.15</v>
      </c>
      <c r="AR11" s="71" t="n">
        <f aca="false">AN11-AJ11</f>
        <v>1.68</v>
      </c>
      <c r="AS11" s="72" t="n">
        <f aca="false">AO11-AK11</f>
        <v>2.26872687566692</v>
      </c>
      <c r="AT11" s="72" t="n">
        <f aca="false">AP11-AL11</f>
        <v>5.49067895234289</v>
      </c>
      <c r="AU11" s="73" t="n">
        <f aca="false">AQ11-AM11</f>
        <v>21.1246210176287</v>
      </c>
      <c r="AV11" s="74" t="n">
        <v>1.57</v>
      </c>
      <c r="AW11" s="74" t="n">
        <v>0.5</v>
      </c>
      <c r="AX11" s="74" t="n">
        <v>0.01</v>
      </c>
      <c r="AY11" s="74" t="n">
        <v>0.34</v>
      </c>
      <c r="AZ11" s="74" t="n">
        <v>0.01</v>
      </c>
      <c r="BA11" s="74" t="n">
        <v>0.11</v>
      </c>
      <c r="BB11" s="75" t="n">
        <f aca="false">SUM(AR11:BA11)</f>
        <v>33.1040268456385</v>
      </c>
      <c r="BC11" s="61"/>
      <c r="BE11" s="2"/>
    </row>
    <row r="12" customFormat="false" ht="13.5" hidden="false" customHeight="false" outlineLevel="0" collapsed="false">
      <c r="A12" s="47"/>
      <c r="B12" s="62" t="n">
        <v>1200</v>
      </c>
      <c r="C12" s="49" t="n">
        <v>10.43</v>
      </c>
      <c r="D12" s="49" t="n">
        <f aca="false">1.68/C12</f>
        <v>0.161073825503356</v>
      </c>
      <c r="E12" s="63" t="n">
        <f aca="false">SUM(F12:J12)</f>
        <v>17.5</v>
      </c>
      <c r="F12" s="63" t="n">
        <v>17.5</v>
      </c>
      <c r="G12" s="63" t="n">
        <v>0</v>
      </c>
      <c r="H12" s="63" t="n">
        <v>0</v>
      </c>
      <c r="I12" s="64" t="n">
        <v>0</v>
      </c>
      <c r="J12" s="64" t="n">
        <v>0</v>
      </c>
      <c r="K12" s="65" t="n">
        <f aca="false">E12*D12</f>
        <v>2.81879194630873</v>
      </c>
      <c r="L12" s="65" t="n">
        <f aca="false">F12*D12</f>
        <v>2.81879194630873</v>
      </c>
      <c r="M12" s="65" t="n">
        <f aca="false">G12*D12</f>
        <v>0</v>
      </c>
      <c r="N12" s="65" t="n">
        <f aca="false">H12*D12</f>
        <v>0</v>
      </c>
      <c r="O12" s="65" t="n">
        <f aca="false">I12*D12</f>
        <v>0</v>
      </c>
      <c r="P12" s="65" t="n">
        <f aca="false">K12-L12-M12-N12-O12</f>
        <v>0</v>
      </c>
      <c r="Q12" s="65" t="n">
        <f aca="false">N12*$I$26/100+M12*$I$25/100</f>
        <v>0</v>
      </c>
      <c r="R12" s="65" t="n">
        <f aca="false">L12*$J$24/100+M12*$J$25/100+N12*$J$26/100+P12*$J$28/100</f>
        <v>2.81879194630873</v>
      </c>
      <c r="S12" s="65" t="n">
        <f aca="false">M12*$K$25/100+N12*$K$26/100+O12*$K$29/100+P12*$K$28/100</f>
        <v>0</v>
      </c>
      <c r="T12" s="50" t="n">
        <f aca="false">8.75/C12</f>
        <v>0.838926174496644</v>
      </c>
      <c r="U12" s="50" t="n">
        <f aca="false">SUM(V12:Z12)</f>
        <v>74</v>
      </c>
      <c r="V12" s="63" t="n">
        <v>0</v>
      </c>
      <c r="W12" s="63" t="n">
        <v>0</v>
      </c>
      <c r="X12" s="63" t="n">
        <v>34</v>
      </c>
      <c r="Y12" s="63" t="n">
        <v>0</v>
      </c>
      <c r="Z12" s="63" t="n">
        <v>40</v>
      </c>
      <c r="AA12" s="66" t="n">
        <f aca="false">U12*T12</f>
        <v>62.0805369127517</v>
      </c>
      <c r="AB12" s="52" t="n">
        <f aca="false">V12*T12</f>
        <v>0</v>
      </c>
      <c r="AC12" s="66" t="n">
        <f aca="false">W12*T12</f>
        <v>0</v>
      </c>
      <c r="AD12" s="66" t="n">
        <f aca="false">X12*T12</f>
        <v>28.5234899328859</v>
      </c>
      <c r="AE12" s="67" t="n">
        <f aca="false">Y12*T12</f>
        <v>0</v>
      </c>
      <c r="AF12" s="66" t="n">
        <f aca="false">AA12-AC12-AD12-AE12</f>
        <v>33.5570469798658</v>
      </c>
      <c r="AG12" s="66" t="n">
        <f aca="false">AC12*$L$27/100+AD12*$L$30/100</f>
        <v>6.15539905662918</v>
      </c>
      <c r="AH12" s="52" t="n">
        <f aca="false">AC12*$J$27/100+AD12*$J$30/100+AF12*$J$28/100+AB12*$J$24/100</f>
        <v>30.7548800696417</v>
      </c>
      <c r="AI12" s="66" t="n">
        <f aca="false">AC12*$K$27/100+AD12*$K$30/100+AE12*$K$29/100+AF12*$K$28/100</f>
        <v>25.1702577864798</v>
      </c>
      <c r="AJ12" s="68" t="n">
        <f aca="false">Q12</f>
        <v>0</v>
      </c>
      <c r="AK12" s="68" t="n">
        <f aca="false">AG12</f>
        <v>6.15539905662918</v>
      </c>
      <c r="AL12" s="68" t="n">
        <f aca="false">SUM(R12,AH12)</f>
        <v>33.5736720159505</v>
      </c>
      <c r="AM12" s="68" t="n">
        <f aca="false">SUM(S12,AI12)</f>
        <v>25.1702577864798</v>
      </c>
      <c r="AN12" s="69" t="n">
        <v>1.68</v>
      </c>
      <c r="AO12" s="69" t="n">
        <v>8.75</v>
      </c>
      <c r="AP12" s="69" t="n">
        <v>39.88</v>
      </c>
      <c r="AQ12" s="70" t="n">
        <v>47.15</v>
      </c>
      <c r="AR12" s="71" t="n">
        <f aca="false">AN12-AJ12</f>
        <v>1.68</v>
      </c>
      <c r="AS12" s="72" t="n">
        <f aca="false">AO12-AK12</f>
        <v>2.59460094337082</v>
      </c>
      <c r="AT12" s="72" t="n">
        <f aca="false">AP12-AL12</f>
        <v>6.30632798404953</v>
      </c>
      <c r="AU12" s="73" t="n">
        <f aca="false">AQ12-AM12</f>
        <v>21.9797422135201</v>
      </c>
      <c r="AV12" s="74" t="n">
        <v>1.57</v>
      </c>
      <c r="AW12" s="74" t="n">
        <v>0.5</v>
      </c>
      <c r="AX12" s="74" t="n">
        <v>0.01</v>
      </c>
      <c r="AY12" s="74" t="n">
        <v>0.34</v>
      </c>
      <c r="AZ12" s="74" t="n">
        <v>0.01</v>
      </c>
      <c r="BA12" s="74" t="n">
        <v>0.11</v>
      </c>
      <c r="BB12" s="75" t="n">
        <f aca="false">SUM(AR12:BA12)</f>
        <v>35.1006711409405</v>
      </c>
      <c r="BC12" s="61"/>
      <c r="BE12" s="2"/>
    </row>
    <row r="13" customFormat="false" ht="13.5" hidden="false" customHeight="false" outlineLevel="0" collapsed="false">
      <c r="A13" s="47"/>
      <c r="B13" s="62" t="n">
        <v>1250</v>
      </c>
      <c r="C13" s="49" t="n">
        <v>10.43</v>
      </c>
      <c r="D13" s="49" t="n">
        <f aca="false">1.68/C13</f>
        <v>0.161073825503356</v>
      </c>
      <c r="E13" s="63" t="n">
        <f aca="false">SUM(F13:J13)</f>
        <v>16</v>
      </c>
      <c r="F13" s="63" t="n">
        <v>16</v>
      </c>
      <c r="G13" s="63" t="n">
        <v>0</v>
      </c>
      <c r="H13" s="63" t="n">
        <v>0</v>
      </c>
      <c r="I13" s="64" t="n">
        <v>0</v>
      </c>
      <c r="J13" s="64" t="n">
        <v>0</v>
      </c>
      <c r="K13" s="65" t="n">
        <f aca="false">E13*D13</f>
        <v>2.57718120805369</v>
      </c>
      <c r="L13" s="65" t="n">
        <f aca="false">F13*D13</f>
        <v>2.57718120805369</v>
      </c>
      <c r="M13" s="65" t="n">
        <f aca="false">G13*D13</f>
        <v>0</v>
      </c>
      <c r="N13" s="65" t="n">
        <f aca="false">H13*D13</f>
        <v>0</v>
      </c>
      <c r="O13" s="65" t="n">
        <f aca="false">I13*D13</f>
        <v>0</v>
      </c>
      <c r="P13" s="65" t="n">
        <f aca="false">K13-L13-M13-N13-O13</f>
        <v>0</v>
      </c>
      <c r="Q13" s="65" t="n">
        <f aca="false">N13*$I$26/100+M13*$I$25/100</f>
        <v>0</v>
      </c>
      <c r="R13" s="65" t="n">
        <f aca="false">L13*$J$24/100+M13*$J$25/100+N13*$J$26/100+P13*$J$28/100</f>
        <v>2.57718120805369</v>
      </c>
      <c r="S13" s="65" t="n">
        <f aca="false">M13*$K$25/100+N13*$K$26/100+O13*$K$29/100+P13*$K$28/100</f>
        <v>0</v>
      </c>
      <c r="T13" s="50" t="n">
        <f aca="false">8.75/C13</f>
        <v>0.838926174496644</v>
      </c>
      <c r="U13" s="50" t="n">
        <f aca="false">SUM(V13:Z13)</f>
        <v>71.9</v>
      </c>
      <c r="V13" s="63" t="n">
        <v>0</v>
      </c>
      <c r="W13" s="63" t="n">
        <v>0</v>
      </c>
      <c r="X13" s="63" t="n">
        <v>32.5</v>
      </c>
      <c r="Y13" s="63" t="n">
        <v>0</v>
      </c>
      <c r="Z13" s="63" t="n">
        <v>39.4</v>
      </c>
      <c r="AA13" s="66" t="n">
        <f aca="false">U13*T13</f>
        <v>60.3187919463087</v>
      </c>
      <c r="AB13" s="52" t="n">
        <f aca="false">V13*T13</f>
        <v>0</v>
      </c>
      <c r="AC13" s="66" t="n">
        <f aca="false">W13*T13</f>
        <v>0</v>
      </c>
      <c r="AD13" s="66" t="n">
        <f aca="false">X13*T13</f>
        <v>27.2651006711409</v>
      </c>
      <c r="AE13" s="67" t="n">
        <f aca="false">Y13*T13</f>
        <v>0</v>
      </c>
      <c r="AF13" s="66" t="n">
        <f aca="false">AA13-AC13-AD13-AE13</f>
        <v>33.0536912751678</v>
      </c>
      <c r="AG13" s="66" t="n">
        <f aca="false">AC13*$L$27/100+AD13*$L$30/100</f>
        <v>5.8838373335426</v>
      </c>
      <c r="AH13" s="52" t="n">
        <f aca="false">AC13*$J$27/100+AD13*$J$30/100+AF13*$J$28/100+AB13*$J$24/100</f>
        <v>30.0995530813689</v>
      </c>
      <c r="AI13" s="66" t="n">
        <f aca="false">AC13*$K$27/100+AD13*$K$30/100+AE13*$K$29/100+AF13*$K$28/100</f>
        <v>24.3354015313964</v>
      </c>
      <c r="AJ13" s="68" t="n">
        <f aca="false">Q13</f>
        <v>0</v>
      </c>
      <c r="AK13" s="68" t="n">
        <f aca="false">AG13</f>
        <v>5.8838373335426</v>
      </c>
      <c r="AL13" s="68" t="n">
        <f aca="false">SUM(R13,AH13)</f>
        <v>32.6767342894226</v>
      </c>
      <c r="AM13" s="68" t="n">
        <f aca="false">SUM(S13,AI13)</f>
        <v>24.3354015313964</v>
      </c>
      <c r="AN13" s="69" t="n">
        <v>1.68</v>
      </c>
      <c r="AO13" s="69" t="n">
        <v>8.75</v>
      </c>
      <c r="AP13" s="69" t="n">
        <v>39.88</v>
      </c>
      <c r="AQ13" s="70" t="n">
        <v>47.15</v>
      </c>
      <c r="AR13" s="71" t="n">
        <f aca="false">AN13-AJ13</f>
        <v>1.68</v>
      </c>
      <c r="AS13" s="72" t="n">
        <f aca="false">AO13-AK13</f>
        <v>2.8661626664574</v>
      </c>
      <c r="AT13" s="72" t="n">
        <f aca="false">AP13-AL13</f>
        <v>7.20326571057741</v>
      </c>
      <c r="AU13" s="73" t="n">
        <f aca="false">AQ13-AM13</f>
        <v>22.8145984686036</v>
      </c>
      <c r="AV13" s="74" t="n">
        <v>1.57</v>
      </c>
      <c r="AW13" s="74" t="n">
        <v>0.5</v>
      </c>
      <c r="AX13" s="74" t="n">
        <v>0.01</v>
      </c>
      <c r="AY13" s="74" t="n">
        <v>0.34</v>
      </c>
      <c r="AZ13" s="74" t="n">
        <v>0.01</v>
      </c>
      <c r="BA13" s="74" t="n">
        <v>0.11</v>
      </c>
      <c r="BB13" s="75" t="n">
        <f aca="false">SUM(AR13:BA13)</f>
        <v>37.1040268456385</v>
      </c>
      <c r="BC13" s="61"/>
      <c r="BE13" s="2"/>
      <c r="BF13" s="2"/>
    </row>
    <row r="14" customFormat="false" ht="13.5" hidden="false" customHeight="false" outlineLevel="0" collapsed="false">
      <c r="A14" s="47"/>
      <c r="B14" s="62" t="n">
        <v>1300</v>
      </c>
      <c r="C14" s="49" t="n">
        <v>10.43</v>
      </c>
      <c r="D14" s="49" t="n">
        <f aca="false">1.68/C14</f>
        <v>0.161073825503356</v>
      </c>
      <c r="E14" s="63" t="n">
        <f aca="false">SUM(F14:J14)</f>
        <v>14</v>
      </c>
      <c r="F14" s="63" t="n">
        <v>14</v>
      </c>
      <c r="G14" s="63" t="n">
        <v>0</v>
      </c>
      <c r="H14" s="63" t="n">
        <v>0</v>
      </c>
      <c r="I14" s="64" t="n">
        <v>0</v>
      </c>
      <c r="J14" s="64" t="n">
        <v>0</v>
      </c>
      <c r="K14" s="65" t="n">
        <f aca="false">E14*D14</f>
        <v>2.25503355704698</v>
      </c>
      <c r="L14" s="65" t="n">
        <f aca="false">F14*D14</f>
        <v>2.25503355704698</v>
      </c>
      <c r="M14" s="65" t="n">
        <f aca="false">G14*D14</f>
        <v>0</v>
      </c>
      <c r="N14" s="65" t="n">
        <f aca="false">H14*D14</f>
        <v>0</v>
      </c>
      <c r="O14" s="65" t="n">
        <f aca="false">I14*D14</f>
        <v>0</v>
      </c>
      <c r="P14" s="65" t="n">
        <f aca="false">K14-L14-M14-N14-O14</f>
        <v>0</v>
      </c>
      <c r="Q14" s="65" t="n">
        <f aca="false">N14*$I$26/100+M14*$I$25/100</f>
        <v>0</v>
      </c>
      <c r="R14" s="65" t="n">
        <f aca="false">L14*$J$24/100+M14*$J$25/100+N14*$J$26/100+P14*$J$28/100</f>
        <v>2.25503355704698</v>
      </c>
      <c r="S14" s="65" t="n">
        <f aca="false">M14*$K$25/100+N14*$K$26/100+O14*$K$29/100+P14*$K$28/100</f>
        <v>0</v>
      </c>
      <c r="T14" s="50" t="n">
        <f aca="false">8.75/C14</f>
        <v>0.838926174496644</v>
      </c>
      <c r="U14" s="50" t="n">
        <f aca="false">SUM(V14:Z14)</f>
        <v>70.2</v>
      </c>
      <c r="V14" s="63" t="n">
        <v>0</v>
      </c>
      <c r="W14" s="63" t="n">
        <v>0</v>
      </c>
      <c r="X14" s="63" t="n">
        <v>31</v>
      </c>
      <c r="Y14" s="63" t="n">
        <v>0</v>
      </c>
      <c r="Z14" s="63" t="n">
        <v>39.2</v>
      </c>
      <c r="AA14" s="66" t="n">
        <f aca="false">U14*T14</f>
        <v>58.8926174496644</v>
      </c>
      <c r="AB14" s="52" t="n">
        <f aca="false">V14*T14</f>
        <v>0</v>
      </c>
      <c r="AC14" s="66" t="n">
        <f aca="false">W14*T14</f>
        <v>0</v>
      </c>
      <c r="AD14" s="66" t="n">
        <f aca="false">X14*T14</f>
        <v>26.006711409396</v>
      </c>
      <c r="AE14" s="67" t="n">
        <f aca="false">Y14*T14</f>
        <v>0</v>
      </c>
      <c r="AF14" s="66" t="n">
        <f aca="false">AA14-AC14-AD14-AE14</f>
        <v>32.8859060402685</v>
      </c>
      <c r="AG14" s="66" t="n">
        <f aca="false">AC14*$L$27/100+AD14*$L$30/100</f>
        <v>5.61227561045602</v>
      </c>
      <c r="AH14" s="52" t="n">
        <f aca="false">AC14*$J$27/100+AD14*$J$30/100+AF14*$J$28/100+AB14*$J$24/100</f>
        <v>29.685147330502</v>
      </c>
      <c r="AI14" s="66" t="n">
        <f aca="false">AC14*$K$27/100+AD14*$K$30/100+AE14*$K$29/100+AF14*$K$28/100</f>
        <v>23.5951945087056</v>
      </c>
      <c r="AJ14" s="68" t="n">
        <f aca="false">Q14</f>
        <v>0</v>
      </c>
      <c r="AK14" s="68" t="n">
        <f aca="false">AG14</f>
        <v>5.61227561045602</v>
      </c>
      <c r="AL14" s="68" t="n">
        <f aca="false">SUM(R14,AH14)</f>
        <v>31.9401808875489</v>
      </c>
      <c r="AM14" s="68" t="n">
        <f aca="false">SUM(S14,AI14)</f>
        <v>23.5951945087056</v>
      </c>
      <c r="AN14" s="69" t="n">
        <v>1.68</v>
      </c>
      <c r="AO14" s="69" t="n">
        <v>8.75</v>
      </c>
      <c r="AP14" s="69" t="n">
        <v>39.88</v>
      </c>
      <c r="AQ14" s="70" t="n">
        <v>47.15</v>
      </c>
      <c r="AR14" s="71" t="n">
        <f aca="false">AN14-AJ14</f>
        <v>1.68</v>
      </c>
      <c r="AS14" s="72" t="n">
        <f aca="false">AO14-AK14</f>
        <v>3.13772438954398</v>
      </c>
      <c r="AT14" s="72" t="n">
        <f aca="false">AP14-AL14</f>
        <v>7.93981911245105</v>
      </c>
      <c r="AU14" s="73" t="n">
        <f aca="false">AQ14-AM14</f>
        <v>23.5548054912944</v>
      </c>
      <c r="AV14" s="74" t="n">
        <v>1.57</v>
      </c>
      <c r="AW14" s="74" t="n">
        <v>0.5</v>
      </c>
      <c r="AX14" s="74" t="n">
        <v>0.01</v>
      </c>
      <c r="AY14" s="74" t="n">
        <v>0.34</v>
      </c>
      <c r="AZ14" s="74" t="n">
        <v>0.01</v>
      </c>
      <c r="BA14" s="74" t="n">
        <v>0.11</v>
      </c>
      <c r="BB14" s="75" t="n">
        <f aca="false">SUM(AR14:BA14)</f>
        <v>38.8523489932894</v>
      </c>
      <c r="BC14" s="61"/>
    </row>
    <row r="15" customFormat="false" ht="13.5" hidden="false" customHeight="false" outlineLevel="0" collapsed="false">
      <c r="A15" s="47"/>
      <c r="B15" s="76" t="n">
        <v>1350</v>
      </c>
      <c r="C15" s="49" t="n">
        <v>10.43</v>
      </c>
      <c r="D15" s="49" t="n">
        <f aca="false">1.68/C15</f>
        <v>0.161073825503356</v>
      </c>
      <c r="E15" s="77" t="n">
        <f aca="false">SUM(F15:J15)</f>
        <v>12</v>
      </c>
      <c r="F15" s="77" t="n">
        <v>12</v>
      </c>
      <c r="G15" s="77" t="n">
        <v>0</v>
      </c>
      <c r="H15" s="77" t="n">
        <v>0</v>
      </c>
      <c r="I15" s="78" t="n">
        <v>0</v>
      </c>
      <c r="J15" s="78" t="n">
        <v>0</v>
      </c>
      <c r="K15" s="79" t="n">
        <f aca="false">E15*D15</f>
        <v>1.93288590604027</v>
      </c>
      <c r="L15" s="79" t="n">
        <f aca="false">F15*D15</f>
        <v>1.93288590604027</v>
      </c>
      <c r="M15" s="79" t="n">
        <f aca="false">G15*D15</f>
        <v>0</v>
      </c>
      <c r="N15" s="79" t="n">
        <f aca="false">H15*D15</f>
        <v>0</v>
      </c>
      <c r="O15" s="79" t="n">
        <f aca="false">I15*D15</f>
        <v>0</v>
      </c>
      <c r="P15" s="79" t="n">
        <f aca="false">K15-L15-M15-N15-O15</f>
        <v>0</v>
      </c>
      <c r="Q15" s="79" t="n">
        <f aca="false">N15*$I$26/100+M15*$I$25/100</f>
        <v>0</v>
      </c>
      <c r="R15" s="79" t="n">
        <f aca="false">L15*$J$24/100+M15*$J$25/100+N15*$J$26/100+P15*$J$28/100</f>
        <v>1.93288590604027</v>
      </c>
      <c r="S15" s="79" t="n">
        <f aca="false">M15*$K$25/100+N15*$K$26/100+O15*$K$29/100+P15*$K$28/100</f>
        <v>0</v>
      </c>
      <c r="T15" s="50" t="n">
        <f aca="false">8.75/C15</f>
        <v>0.838926174496644</v>
      </c>
      <c r="U15" s="50" t="n">
        <f aca="false">SUM(V15:Z15)</f>
        <v>32.5</v>
      </c>
      <c r="V15" s="77" t="n">
        <v>25</v>
      </c>
      <c r="W15" s="77" t="n">
        <v>0</v>
      </c>
      <c r="X15" s="77" t="n">
        <v>7.5</v>
      </c>
      <c r="Y15" s="77" t="n">
        <v>0</v>
      </c>
      <c r="Z15" s="77" t="n">
        <v>0</v>
      </c>
      <c r="AA15" s="80" t="n">
        <f aca="false">U15*T15</f>
        <v>27.2651006711409</v>
      </c>
      <c r="AB15" s="52" t="n">
        <f aca="false">V15*T15</f>
        <v>20.9731543624161</v>
      </c>
      <c r="AC15" s="80" t="n">
        <f aca="false">W15*T15</f>
        <v>0</v>
      </c>
      <c r="AD15" s="80" t="n">
        <f aca="false">X15*T15</f>
        <v>6.29194630872483</v>
      </c>
      <c r="AE15" s="81" t="n">
        <f aca="false">Y15*T15</f>
        <v>0</v>
      </c>
      <c r="AF15" s="80" t="n">
        <f aca="false">AA15-AC15-AD15-AE15</f>
        <v>20.9731543624161</v>
      </c>
      <c r="AG15" s="80" t="n">
        <f aca="false">AC15*$L$27/100+AD15*$L$30/100</f>
        <v>1.35780861543291</v>
      </c>
      <c r="AH15" s="52" t="n">
        <f aca="false">AC15*$J$27/100+AD15*$J$30/100+AF15*$J$28/100+AB15*$J$24/100</f>
        <v>37.5004573611057</v>
      </c>
      <c r="AI15" s="80" t="n">
        <f aca="false">AC15*$K$27/100+AD15*$K$30/100+AE15*$K$29/100+AF15*$K$28/100</f>
        <v>9.37998905701806</v>
      </c>
      <c r="AJ15" s="82" t="n">
        <f aca="false">Q15</f>
        <v>0</v>
      </c>
      <c r="AK15" s="82" t="n">
        <f aca="false">AG15</f>
        <v>1.35780861543291</v>
      </c>
      <c r="AL15" s="82" t="n">
        <f aca="false">SUM(R15,AH15)</f>
        <v>39.433343267146</v>
      </c>
      <c r="AM15" s="82" t="n">
        <f aca="false">SUM(S15,AI15)</f>
        <v>9.37998905701806</v>
      </c>
      <c r="AN15" s="83" t="n">
        <v>1.68</v>
      </c>
      <c r="AO15" s="83" t="n">
        <v>8.75</v>
      </c>
      <c r="AP15" s="83" t="n">
        <v>39.88</v>
      </c>
      <c r="AQ15" s="84" t="n">
        <v>47.15</v>
      </c>
      <c r="AR15" s="85" t="n">
        <f aca="false">AN15-AJ15</f>
        <v>1.68</v>
      </c>
      <c r="AS15" s="86" t="n">
        <f aca="false">AO15-AK15</f>
        <v>7.39219138456709</v>
      </c>
      <c r="AT15" s="86" t="n">
        <f aca="false">AP15-AL15</f>
        <v>0.446656732853988</v>
      </c>
      <c r="AU15" s="87" t="n">
        <f aca="false">AQ15-AM15</f>
        <v>37.7700109429819</v>
      </c>
      <c r="AV15" s="88" t="n">
        <v>1.57</v>
      </c>
      <c r="AW15" s="88" t="n">
        <v>0.5</v>
      </c>
      <c r="AX15" s="88" t="n">
        <v>0.01</v>
      </c>
      <c r="AY15" s="88" t="n">
        <v>0.34</v>
      </c>
      <c r="AZ15" s="88" t="n">
        <v>0.01</v>
      </c>
      <c r="BA15" s="88" t="n">
        <v>0.11</v>
      </c>
      <c r="BB15" s="89" t="n">
        <f aca="false">SUM(AR15:BA15)</f>
        <v>49.828859060403</v>
      </c>
      <c r="BC15" s="61"/>
    </row>
    <row r="16" customFormat="false" ht="13.5" hidden="false" customHeight="true" outlineLevel="0" collapsed="false">
      <c r="A16" s="90" t="s">
        <v>36</v>
      </c>
      <c r="B16" s="62" t="n">
        <v>1100</v>
      </c>
      <c r="C16" s="62" t="n">
        <f aca="false">0.21+0.21</f>
        <v>0.42</v>
      </c>
      <c r="D16" s="69" t="n">
        <f aca="false">0.21/C16</f>
        <v>0.5</v>
      </c>
      <c r="E16" s="63" t="n">
        <f aca="false">SUM(F16:J16)</f>
        <v>88</v>
      </c>
      <c r="F16" s="63" t="n">
        <v>0</v>
      </c>
      <c r="G16" s="63" t="n">
        <v>0</v>
      </c>
      <c r="H16" s="63" t="n">
        <v>0</v>
      </c>
      <c r="I16" s="63" t="n">
        <v>68</v>
      </c>
      <c r="J16" s="63" t="n">
        <v>20</v>
      </c>
      <c r="K16" s="65" t="n">
        <f aca="false">E16*D16</f>
        <v>44</v>
      </c>
      <c r="L16" s="65" t="n">
        <f aca="false">F16*D16</f>
        <v>0</v>
      </c>
      <c r="M16" s="65" t="n">
        <f aca="false">G16*D16</f>
        <v>0</v>
      </c>
      <c r="N16" s="65" t="n">
        <f aca="false">H16*D16</f>
        <v>0</v>
      </c>
      <c r="O16" s="65" t="n">
        <f aca="false">I16*D16</f>
        <v>34</v>
      </c>
      <c r="P16" s="65" t="n">
        <f aca="false">K16-L16-M16-N16-O16</f>
        <v>10</v>
      </c>
      <c r="Q16" s="65" t="n">
        <f aca="false">N16*$I$26/100+M16*$I$25/100</f>
        <v>0</v>
      </c>
      <c r="R16" s="65" t="n">
        <f aca="false">L16*$J$24/100+M16*$J$25/100+N16*$J$26/100+P16*$J$28/100</f>
        <v>7.1794528746963</v>
      </c>
      <c r="S16" s="65" t="n">
        <f aca="false">M16*$K$25/100+N16*$K$26/100+O16*$K$29/100+P16*$K$28/100</f>
        <v>36.8205471253036</v>
      </c>
      <c r="T16" s="63" t="n">
        <f aca="false">0.21/C16</f>
        <v>0.5</v>
      </c>
      <c r="U16" s="50" t="n">
        <f aca="false">SUM(V16:Z16)</f>
        <v>86</v>
      </c>
      <c r="V16" s="63" t="n">
        <v>0</v>
      </c>
      <c r="W16" s="63" t="n">
        <v>0</v>
      </c>
      <c r="X16" s="63" t="n">
        <v>0</v>
      </c>
      <c r="Y16" s="64" t="n">
        <v>66</v>
      </c>
      <c r="Z16" s="64" t="n">
        <v>20</v>
      </c>
      <c r="AA16" s="66" t="n">
        <f aca="false">U16*T16</f>
        <v>43</v>
      </c>
      <c r="AB16" s="52" t="n">
        <f aca="false">V16*T16</f>
        <v>0</v>
      </c>
      <c r="AC16" s="66" t="n">
        <f aca="false">W16*T16</f>
        <v>0</v>
      </c>
      <c r="AD16" s="66" t="n">
        <f aca="false">X16*T16</f>
        <v>0</v>
      </c>
      <c r="AE16" s="67" t="n">
        <f aca="false">Y16*T16</f>
        <v>33</v>
      </c>
      <c r="AF16" s="66" t="n">
        <f aca="false">AA16-AC16-AD16-AE16</f>
        <v>10</v>
      </c>
      <c r="AG16" s="66" t="n">
        <f aca="false">AC16*$L$27/100+AD16*$L$30/100</f>
        <v>0</v>
      </c>
      <c r="AH16" s="52" t="n">
        <f aca="false">AC16*$J$27/100+AD16*$J$30/100+AF16*$J$28/100+AB16*$J$24/100</f>
        <v>7.1794528746963</v>
      </c>
      <c r="AI16" s="66" t="n">
        <f aca="false">AC16*$K$27/100+AD16*$K$30/100+AE16*$K$29/100+AF16*$K$28/100</f>
        <v>35.8205471253036</v>
      </c>
      <c r="AJ16" s="68" t="n">
        <f aca="false">Q16</f>
        <v>0</v>
      </c>
      <c r="AK16" s="68" t="n">
        <f aca="false">AG16</f>
        <v>0</v>
      </c>
      <c r="AL16" s="68" t="n">
        <f aca="false">SUM(R16,AH16)</f>
        <v>14.3589057493926</v>
      </c>
      <c r="AM16" s="68" t="n">
        <f aca="false">SUM(S16,AI16)</f>
        <v>72.6410942506072</v>
      </c>
      <c r="AN16" s="69" t="n">
        <v>0.21</v>
      </c>
      <c r="AO16" s="69" t="n">
        <v>0.21</v>
      </c>
      <c r="AP16" s="69" t="n">
        <v>15.62</v>
      </c>
      <c r="AQ16" s="70" t="n">
        <v>83.14</v>
      </c>
      <c r="AR16" s="91" t="n">
        <f aca="false">AN16-AJ16</f>
        <v>0.21</v>
      </c>
      <c r="AS16" s="92" t="n">
        <f aca="false">AO16-AK16</f>
        <v>0.21</v>
      </c>
      <c r="AT16" s="92" t="n">
        <f aca="false">AP16-AL16</f>
        <v>1.2610942506074</v>
      </c>
      <c r="AU16" s="93" t="n">
        <f aca="false">AQ16-AM16</f>
        <v>10.4989057493928</v>
      </c>
      <c r="AV16" s="94" t="n">
        <v>0.39</v>
      </c>
      <c r="AW16" s="94" t="n">
        <v>0.05</v>
      </c>
      <c r="AX16" s="94" t="n">
        <v>0.05</v>
      </c>
      <c r="AY16" s="94" t="n">
        <v>0.1</v>
      </c>
      <c r="AZ16" s="94" t="n">
        <v>0.12</v>
      </c>
      <c r="BA16" s="94" t="n">
        <v>0.09</v>
      </c>
      <c r="BB16" s="95" t="n">
        <f aca="false">SUM(AR16:BA16)</f>
        <v>12.9800000000002</v>
      </c>
      <c r="BC16" s="61"/>
    </row>
    <row r="17" customFormat="false" ht="13.5" hidden="false" customHeight="true" outlineLevel="0" collapsed="false">
      <c r="A17" s="90"/>
      <c r="B17" s="62" t="n">
        <v>1150</v>
      </c>
      <c r="C17" s="62" t="n">
        <f aca="false">0.21+0.21</f>
        <v>0.42</v>
      </c>
      <c r="D17" s="69" t="n">
        <f aca="false">0.21/C17</f>
        <v>0.5</v>
      </c>
      <c r="E17" s="63" t="n">
        <f aca="false">SUM(F17:J17)</f>
        <v>83</v>
      </c>
      <c r="F17" s="63" t="n">
        <v>0</v>
      </c>
      <c r="G17" s="63" t="n">
        <v>0</v>
      </c>
      <c r="H17" s="63" t="n">
        <v>0</v>
      </c>
      <c r="I17" s="63" t="n">
        <v>63</v>
      </c>
      <c r="J17" s="63" t="n">
        <v>20</v>
      </c>
      <c r="K17" s="65" t="n">
        <f aca="false">E17*D17</f>
        <v>41.5</v>
      </c>
      <c r="L17" s="65" t="n">
        <f aca="false">F17*D17</f>
        <v>0</v>
      </c>
      <c r="M17" s="65" t="n">
        <f aca="false">G17*D17</f>
        <v>0</v>
      </c>
      <c r="N17" s="65" t="n">
        <f aca="false">H17*D17</f>
        <v>0</v>
      </c>
      <c r="O17" s="65" t="n">
        <f aca="false">I17*D17</f>
        <v>31.5</v>
      </c>
      <c r="P17" s="65" t="n">
        <f aca="false">K17-L17-M17-N17-O17</f>
        <v>10</v>
      </c>
      <c r="Q17" s="65" t="n">
        <f aca="false">N17*$I$26/100+M17*$I$25/100</f>
        <v>0</v>
      </c>
      <c r="R17" s="65" t="n">
        <f aca="false">L17*$J$24/100+M17*$J$25/100+N17*$J$26/100+P17*$J$28/100</f>
        <v>7.1794528746963</v>
      </c>
      <c r="S17" s="65" t="n">
        <f aca="false">M17*$K$25/100+N17*$K$26/100+O17*$K$29/100+P17*$K$28/100</f>
        <v>34.3205471253036</v>
      </c>
      <c r="T17" s="63" t="n">
        <f aca="false">0.21/C17</f>
        <v>0.5</v>
      </c>
      <c r="U17" s="50" t="n">
        <f aca="false">SUM(V17:Z17)</f>
        <v>82</v>
      </c>
      <c r="V17" s="63" t="n">
        <v>0</v>
      </c>
      <c r="W17" s="63" t="n">
        <v>0</v>
      </c>
      <c r="X17" s="63" t="n">
        <v>0</v>
      </c>
      <c r="Y17" s="64" t="n">
        <v>62</v>
      </c>
      <c r="Z17" s="64" t="n">
        <v>20</v>
      </c>
      <c r="AA17" s="66" t="n">
        <f aca="false">U17*T17</f>
        <v>41</v>
      </c>
      <c r="AB17" s="52" t="n">
        <f aca="false">V17*T17</f>
        <v>0</v>
      </c>
      <c r="AC17" s="66" t="n">
        <f aca="false">W17*T17</f>
        <v>0</v>
      </c>
      <c r="AD17" s="66" t="n">
        <f aca="false">X17*T17</f>
        <v>0</v>
      </c>
      <c r="AE17" s="67" t="n">
        <f aca="false">Y17*T17</f>
        <v>31</v>
      </c>
      <c r="AF17" s="66" t="n">
        <f aca="false">AA17-AC17-AD17-AE17</f>
        <v>10</v>
      </c>
      <c r="AG17" s="66" t="n">
        <f aca="false">AC17*$L$27/100+AD17*$L$30/100</f>
        <v>0</v>
      </c>
      <c r="AH17" s="52" t="n">
        <f aca="false">AC17*$J$27/100+AD17*$J$30/100+AF17*$J$28/100+AB17*$J$24/100</f>
        <v>7.1794528746963</v>
      </c>
      <c r="AI17" s="66" t="n">
        <f aca="false">AC17*$K$27/100+AD17*$K$30/100+AE17*$K$29/100+AF17*$K$28/100</f>
        <v>33.8205471253036</v>
      </c>
      <c r="AJ17" s="68" t="n">
        <f aca="false">Q17</f>
        <v>0</v>
      </c>
      <c r="AK17" s="68" t="n">
        <f aca="false">AG17</f>
        <v>0</v>
      </c>
      <c r="AL17" s="68" t="n">
        <f aca="false">SUM(R17,AH17)</f>
        <v>14.3589057493926</v>
      </c>
      <c r="AM17" s="68" t="n">
        <f aca="false">SUM(S17,AI17)</f>
        <v>68.1410942506072</v>
      </c>
      <c r="AN17" s="69" t="n">
        <v>0.21</v>
      </c>
      <c r="AO17" s="69" t="n">
        <v>0.21</v>
      </c>
      <c r="AP17" s="69" t="n">
        <v>15.62</v>
      </c>
      <c r="AQ17" s="70" t="n">
        <v>83.14</v>
      </c>
      <c r="AR17" s="71" t="n">
        <f aca="false">AN17-AJ17</f>
        <v>0.21</v>
      </c>
      <c r="AS17" s="72" t="n">
        <f aca="false">AO17-AK17</f>
        <v>0.21</v>
      </c>
      <c r="AT17" s="72" t="n">
        <f aca="false">AP17-AL17</f>
        <v>1.2610942506074</v>
      </c>
      <c r="AU17" s="73" t="n">
        <f aca="false">AQ17-AM17</f>
        <v>14.9989057493928</v>
      </c>
      <c r="AV17" s="74" t="n">
        <v>0.39</v>
      </c>
      <c r="AW17" s="74" t="n">
        <v>0.05</v>
      </c>
      <c r="AX17" s="74" t="n">
        <v>0.05</v>
      </c>
      <c r="AY17" s="74" t="n">
        <v>0.1</v>
      </c>
      <c r="AZ17" s="74" t="n">
        <v>0.12</v>
      </c>
      <c r="BA17" s="74" t="n">
        <v>0.09</v>
      </c>
      <c r="BB17" s="75" t="n">
        <f aca="false">SUM(AR17:BA17)</f>
        <v>17.4800000000002</v>
      </c>
      <c r="BC17" s="61"/>
    </row>
    <row r="18" customFormat="false" ht="13.5" hidden="false" customHeight="true" outlineLevel="0" collapsed="false">
      <c r="A18" s="90"/>
      <c r="B18" s="62" t="n">
        <v>1200</v>
      </c>
      <c r="C18" s="62" t="n">
        <f aca="false">0.21+0.21</f>
        <v>0.42</v>
      </c>
      <c r="D18" s="69" t="n">
        <f aca="false">0.21/C18</f>
        <v>0.5</v>
      </c>
      <c r="E18" s="63" t="n">
        <f aca="false">SUM(F18:J18)</f>
        <v>77</v>
      </c>
      <c r="F18" s="63" t="n">
        <v>0</v>
      </c>
      <c r="G18" s="63" t="n">
        <v>0</v>
      </c>
      <c r="H18" s="63" t="n">
        <v>0</v>
      </c>
      <c r="I18" s="63" t="n">
        <v>57</v>
      </c>
      <c r="J18" s="63" t="n">
        <v>20</v>
      </c>
      <c r="K18" s="65" t="n">
        <f aca="false">E18*D18</f>
        <v>38.5</v>
      </c>
      <c r="L18" s="65" t="n">
        <f aca="false">F18*D18</f>
        <v>0</v>
      </c>
      <c r="M18" s="65" t="n">
        <f aca="false">G18*D18</f>
        <v>0</v>
      </c>
      <c r="N18" s="65" t="n">
        <f aca="false">H18*D18</f>
        <v>0</v>
      </c>
      <c r="O18" s="65" t="n">
        <f aca="false">I18*D18</f>
        <v>28.5</v>
      </c>
      <c r="P18" s="65" t="n">
        <f aca="false">K18-L18-M18-N18-O18</f>
        <v>10</v>
      </c>
      <c r="Q18" s="65" t="n">
        <f aca="false">N18*$I$26/100+M18*$I$25/100</f>
        <v>0</v>
      </c>
      <c r="R18" s="65" t="n">
        <f aca="false">L18*$J$24/100+M18*$J$25/100+N18*$J$26/100+P18*$J$28/100</f>
        <v>7.1794528746963</v>
      </c>
      <c r="S18" s="65" t="n">
        <f aca="false">M18*$K$25/100+N18*$K$26/100+O18*$K$29/100+P18*$K$28/100</f>
        <v>31.3205471253036</v>
      </c>
      <c r="T18" s="63" t="n">
        <f aca="false">0.21/C18</f>
        <v>0.5</v>
      </c>
      <c r="U18" s="50" t="n">
        <f aca="false">SUM(V18:Z18)</f>
        <v>76.5</v>
      </c>
      <c r="V18" s="63" t="n">
        <v>0</v>
      </c>
      <c r="W18" s="63" t="n">
        <v>0</v>
      </c>
      <c r="X18" s="63" t="n">
        <v>0</v>
      </c>
      <c r="Y18" s="64" t="n">
        <v>57</v>
      </c>
      <c r="Z18" s="64" t="n">
        <v>19.5</v>
      </c>
      <c r="AA18" s="66" t="n">
        <f aca="false">U18*T18</f>
        <v>38.25</v>
      </c>
      <c r="AB18" s="52" t="n">
        <f aca="false">V18*T18</f>
        <v>0</v>
      </c>
      <c r="AC18" s="66" t="n">
        <f aca="false">W18*T18</f>
        <v>0</v>
      </c>
      <c r="AD18" s="66" t="n">
        <f aca="false">X18*T18</f>
        <v>0</v>
      </c>
      <c r="AE18" s="67" t="n">
        <f aca="false">Y18*T18</f>
        <v>28.5</v>
      </c>
      <c r="AF18" s="66" t="n">
        <f aca="false">AA18-AC18-AD18-AE18</f>
        <v>9.75</v>
      </c>
      <c r="AG18" s="66" t="n">
        <f aca="false">AC18*$L$27/100+AD18*$L$30/100</f>
        <v>0</v>
      </c>
      <c r="AH18" s="52" t="n">
        <f aca="false">AC18*$J$27/100+AD18*$J$30/100+AF18*$J$28/100+AB18*$J$24/100</f>
        <v>6.99996655282889</v>
      </c>
      <c r="AI18" s="66" t="n">
        <f aca="false">AC18*$K$27/100+AD18*$K$30/100+AE18*$K$29/100+AF18*$K$28/100</f>
        <v>31.250033447171</v>
      </c>
      <c r="AJ18" s="68" t="n">
        <f aca="false">Q18</f>
        <v>0</v>
      </c>
      <c r="AK18" s="68" t="n">
        <f aca="false">AG18</f>
        <v>0</v>
      </c>
      <c r="AL18" s="68" t="n">
        <f aca="false">SUM(R18,AH18)</f>
        <v>14.1794194275252</v>
      </c>
      <c r="AM18" s="68" t="n">
        <f aca="false">SUM(S18,AI18)</f>
        <v>62.5705805724746</v>
      </c>
      <c r="AN18" s="69" t="n">
        <v>0.21</v>
      </c>
      <c r="AO18" s="69" t="n">
        <v>0.21</v>
      </c>
      <c r="AP18" s="69" t="n">
        <v>15.62</v>
      </c>
      <c r="AQ18" s="70" t="n">
        <v>83.14</v>
      </c>
      <c r="AR18" s="71" t="n">
        <f aca="false">AN18-AJ18</f>
        <v>0.21</v>
      </c>
      <c r="AS18" s="72" t="n">
        <f aca="false">AO18-AK18</f>
        <v>0.21</v>
      </c>
      <c r="AT18" s="72" t="n">
        <f aca="false">AP18-AL18</f>
        <v>1.44058057247481</v>
      </c>
      <c r="AU18" s="73" t="n">
        <f aca="false">AQ18-AM18</f>
        <v>20.5694194275254</v>
      </c>
      <c r="AV18" s="74" t="n">
        <v>0.39</v>
      </c>
      <c r="AW18" s="74" t="n">
        <v>0.05</v>
      </c>
      <c r="AX18" s="74" t="n">
        <v>0.05</v>
      </c>
      <c r="AY18" s="74" t="n">
        <v>0.1</v>
      </c>
      <c r="AZ18" s="74" t="n">
        <v>0.12</v>
      </c>
      <c r="BA18" s="74" t="n">
        <v>0.09</v>
      </c>
      <c r="BB18" s="75" t="n">
        <f aca="false">SUM(AR18:BA18)</f>
        <v>23.2300000000002</v>
      </c>
      <c r="BC18" s="61"/>
    </row>
    <row r="19" customFormat="false" ht="13.5" hidden="false" customHeight="true" outlineLevel="0" collapsed="false">
      <c r="A19" s="90"/>
      <c r="B19" s="62" t="n">
        <v>1250</v>
      </c>
      <c r="C19" s="62" t="n">
        <f aca="false">0.21+0.21</f>
        <v>0.42</v>
      </c>
      <c r="D19" s="69" t="n">
        <f aca="false">0.21/C19</f>
        <v>0.5</v>
      </c>
      <c r="E19" s="63" t="n">
        <f aca="false">SUM(F19:J19)</f>
        <v>71</v>
      </c>
      <c r="F19" s="63" t="n">
        <v>0</v>
      </c>
      <c r="G19" s="63" t="n">
        <v>0</v>
      </c>
      <c r="H19" s="63" t="n">
        <v>0</v>
      </c>
      <c r="I19" s="63" t="n">
        <v>51</v>
      </c>
      <c r="J19" s="63" t="n">
        <v>20</v>
      </c>
      <c r="K19" s="65" t="n">
        <f aca="false">E19*D19</f>
        <v>35.5</v>
      </c>
      <c r="L19" s="65" t="n">
        <f aca="false">F19*D19</f>
        <v>0</v>
      </c>
      <c r="M19" s="65" t="n">
        <f aca="false">G19*D19</f>
        <v>0</v>
      </c>
      <c r="N19" s="65" t="n">
        <f aca="false">H19*D19</f>
        <v>0</v>
      </c>
      <c r="O19" s="65" t="n">
        <f aca="false">I19*D19</f>
        <v>25.5</v>
      </c>
      <c r="P19" s="65" t="n">
        <f aca="false">K19-L19-M19-N19-O19</f>
        <v>10</v>
      </c>
      <c r="Q19" s="65" t="n">
        <f aca="false">N19*$I$26/100+M19*$I$25/100</f>
        <v>0</v>
      </c>
      <c r="R19" s="65" t="n">
        <f aca="false">L19*$J$24/100+M19*$J$25/100+N19*$J$26/100+P19*$J$28/100</f>
        <v>7.1794528746963</v>
      </c>
      <c r="S19" s="65" t="n">
        <f aca="false">M19*$K$25/100+N19*$K$26/100+O19*$K$29/100+P19*$K$28/100</f>
        <v>28.3205471253036</v>
      </c>
      <c r="T19" s="63" t="n">
        <f aca="false">0.21/C19</f>
        <v>0.5</v>
      </c>
      <c r="U19" s="50" t="n">
        <f aca="false">SUM(V19:Z19)</f>
        <v>71</v>
      </c>
      <c r="V19" s="63" t="n">
        <v>0</v>
      </c>
      <c r="W19" s="63" t="n">
        <v>0</v>
      </c>
      <c r="X19" s="63" t="n">
        <v>0</v>
      </c>
      <c r="Y19" s="64" t="n">
        <v>52</v>
      </c>
      <c r="Z19" s="64" t="n">
        <v>19</v>
      </c>
      <c r="AA19" s="66" t="n">
        <f aca="false">U19*T19</f>
        <v>35.5</v>
      </c>
      <c r="AB19" s="52" t="n">
        <f aca="false">V19*T19</f>
        <v>0</v>
      </c>
      <c r="AC19" s="66" t="n">
        <f aca="false">W19*T19</f>
        <v>0</v>
      </c>
      <c r="AD19" s="66" t="n">
        <f aca="false">X19*T19</f>
        <v>0</v>
      </c>
      <c r="AE19" s="67" t="n">
        <f aca="false">Y19*T19</f>
        <v>26</v>
      </c>
      <c r="AF19" s="66" t="n">
        <f aca="false">AA19-AC19-AD19-AE19</f>
        <v>9.5</v>
      </c>
      <c r="AG19" s="66" t="n">
        <f aca="false">AC19*$L$27/100+AD19*$L$30/100</f>
        <v>0</v>
      </c>
      <c r="AH19" s="52" t="n">
        <f aca="false">AC19*$J$27/100+AD19*$J$30/100+AF19*$J$28/100+AB19*$J$24/100</f>
        <v>6.82048023096148</v>
      </c>
      <c r="AI19" s="66" t="n">
        <f aca="false">AC19*$K$27/100+AD19*$K$30/100+AE19*$K$29/100+AF19*$K$28/100</f>
        <v>28.6795197690384</v>
      </c>
      <c r="AJ19" s="68" t="n">
        <f aca="false">Q19</f>
        <v>0</v>
      </c>
      <c r="AK19" s="68" t="n">
        <f aca="false">AG19</f>
        <v>0</v>
      </c>
      <c r="AL19" s="68" t="n">
        <f aca="false">SUM(R19,AH19)</f>
        <v>13.9999331056578</v>
      </c>
      <c r="AM19" s="68" t="n">
        <f aca="false">SUM(S19,AI19)</f>
        <v>57.000066894342</v>
      </c>
      <c r="AN19" s="69" t="n">
        <v>0.21</v>
      </c>
      <c r="AO19" s="69" t="n">
        <v>0.21</v>
      </c>
      <c r="AP19" s="69" t="n">
        <v>15.62</v>
      </c>
      <c r="AQ19" s="70" t="n">
        <v>83.14</v>
      </c>
      <c r="AR19" s="71" t="n">
        <f aca="false">AN19-AJ19</f>
        <v>0.21</v>
      </c>
      <c r="AS19" s="72" t="n">
        <f aca="false">AO19-AK19</f>
        <v>0.21</v>
      </c>
      <c r="AT19" s="72" t="n">
        <f aca="false">AP19-AL19</f>
        <v>1.62006689434221</v>
      </c>
      <c r="AU19" s="73" t="n">
        <f aca="false">AQ19-AM19</f>
        <v>26.139933105658</v>
      </c>
      <c r="AV19" s="74" t="n">
        <v>0.39</v>
      </c>
      <c r="AW19" s="74" t="n">
        <v>0.05</v>
      </c>
      <c r="AX19" s="74" t="n">
        <v>0.05</v>
      </c>
      <c r="AY19" s="74" t="n">
        <v>0.1</v>
      </c>
      <c r="AZ19" s="74" t="n">
        <v>0.12</v>
      </c>
      <c r="BA19" s="74" t="n">
        <v>0.09</v>
      </c>
      <c r="BB19" s="75" t="n">
        <f aca="false">SUM(AR19:BA19)</f>
        <v>28.9800000000002</v>
      </c>
      <c r="BC19" s="61"/>
    </row>
    <row r="20" customFormat="false" ht="13.5" hidden="false" customHeight="false" outlineLevel="0" collapsed="false">
      <c r="A20" s="90"/>
      <c r="B20" s="62" t="n">
        <v>1300</v>
      </c>
      <c r="C20" s="62" t="n">
        <f aca="false">0.21+0.21</f>
        <v>0.42</v>
      </c>
      <c r="D20" s="69" t="n">
        <f aca="false">0.21/C20</f>
        <v>0.5</v>
      </c>
      <c r="E20" s="63" t="n">
        <f aca="false">SUM(F20:J20)</f>
        <v>64</v>
      </c>
      <c r="F20" s="63" t="n">
        <v>0</v>
      </c>
      <c r="G20" s="63" t="n">
        <v>0</v>
      </c>
      <c r="H20" s="63" t="n">
        <v>0</v>
      </c>
      <c r="I20" s="63" t="n">
        <v>44.5</v>
      </c>
      <c r="J20" s="63" t="n">
        <v>19.5</v>
      </c>
      <c r="K20" s="65" t="n">
        <f aca="false">E20*D20</f>
        <v>32</v>
      </c>
      <c r="L20" s="65" t="n">
        <f aca="false">F20*D20</f>
        <v>0</v>
      </c>
      <c r="M20" s="65" t="n">
        <f aca="false">G20*D20</f>
        <v>0</v>
      </c>
      <c r="N20" s="65" t="n">
        <f aca="false">H20*D20</f>
        <v>0</v>
      </c>
      <c r="O20" s="65" t="n">
        <f aca="false">I20*D20</f>
        <v>22.25</v>
      </c>
      <c r="P20" s="65" t="n">
        <f aca="false">K20-L20-M20-N20-O20</f>
        <v>9.75</v>
      </c>
      <c r="Q20" s="65" t="n">
        <f aca="false">N20*$I$26/100+M20*$I$25/100</f>
        <v>0</v>
      </c>
      <c r="R20" s="65" t="n">
        <f aca="false">L20*$J$24/100+M20*$J$25/100+N20*$J$26/100+P20*$J$28/100</f>
        <v>6.99996655282889</v>
      </c>
      <c r="S20" s="65" t="n">
        <f aca="false">M20*$K$25/100+N20*$K$26/100+O20*$K$29/100+P20*$K$28/100</f>
        <v>25.000033447171</v>
      </c>
      <c r="T20" s="63" t="n">
        <f aca="false">0.21/C20</f>
        <v>0.5</v>
      </c>
      <c r="U20" s="50" t="n">
        <f aca="false">SUM(V20:Z20)</f>
        <v>66</v>
      </c>
      <c r="V20" s="63" t="n">
        <v>0</v>
      </c>
      <c r="W20" s="63" t="n">
        <v>0</v>
      </c>
      <c r="X20" s="63" t="n">
        <v>0</v>
      </c>
      <c r="Y20" s="64" t="n">
        <v>47</v>
      </c>
      <c r="Z20" s="64" t="n">
        <v>19</v>
      </c>
      <c r="AA20" s="66" t="n">
        <f aca="false">U20*T20</f>
        <v>33</v>
      </c>
      <c r="AB20" s="52" t="n">
        <f aca="false">V20*T20</f>
        <v>0</v>
      </c>
      <c r="AC20" s="66" t="n">
        <f aca="false">W20*T20</f>
        <v>0</v>
      </c>
      <c r="AD20" s="66" t="n">
        <f aca="false">X20*T20</f>
        <v>0</v>
      </c>
      <c r="AE20" s="67" t="n">
        <f aca="false">Y20*T20</f>
        <v>23.5</v>
      </c>
      <c r="AF20" s="66" t="n">
        <f aca="false">AA20-AC20-AD20-AE20</f>
        <v>9.5</v>
      </c>
      <c r="AG20" s="66" t="n">
        <f aca="false">AC20*$L$27/100+AD20*$L$30/100</f>
        <v>0</v>
      </c>
      <c r="AH20" s="52" t="n">
        <f aca="false">AC20*$J$27/100+AD20*$J$30/100+AF20*$J$28/100+AB20*$J$24/100</f>
        <v>6.82048023096148</v>
      </c>
      <c r="AI20" s="66" t="n">
        <f aca="false">AC20*$K$27/100+AD20*$K$30/100+AE20*$K$29/100+AF20*$K$28/100</f>
        <v>26.1795197690384</v>
      </c>
      <c r="AJ20" s="68" t="n">
        <f aca="false">Q20</f>
        <v>0</v>
      </c>
      <c r="AK20" s="68" t="n">
        <f aca="false">AG20</f>
        <v>0</v>
      </c>
      <c r="AL20" s="68" t="n">
        <f aca="false">SUM(R20,AH20)</f>
        <v>13.8204467837904</v>
      </c>
      <c r="AM20" s="68" t="n">
        <f aca="false">SUM(S20,AI20)</f>
        <v>51.1795532162094</v>
      </c>
      <c r="AN20" s="69" t="n">
        <v>0.21</v>
      </c>
      <c r="AO20" s="69" t="n">
        <v>0.21</v>
      </c>
      <c r="AP20" s="69" t="n">
        <v>15.62</v>
      </c>
      <c r="AQ20" s="70" t="n">
        <v>83.14</v>
      </c>
      <c r="AR20" s="71" t="n">
        <f aca="false">AN20-AJ20</f>
        <v>0.21</v>
      </c>
      <c r="AS20" s="72" t="n">
        <f aca="false">AO20-AK20</f>
        <v>0.21</v>
      </c>
      <c r="AT20" s="72" t="n">
        <f aca="false">AP20-AL20</f>
        <v>1.79955321620962</v>
      </c>
      <c r="AU20" s="73" t="n">
        <f aca="false">AQ20-AM20</f>
        <v>31.9604467837906</v>
      </c>
      <c r="AV20" s="74" t="n">
        <v>0.39</v>
      </c>
      <c r="AW20" s="74" t="n">
        <v>0.05</v>
      </c>
      <c r="AX20" s="74" t="n">
        <v>0.05</v>
      </c>
      <c r="AY20" s="74" t="n">
        <v>0.1</v>
      </c>
      <c r="AZ20" s="74" t="n">
        <v>0.12</v>
      </c>
      <c r="BA20" s="74" t="n">
        <v>0.09</v>
      </c>
      <c r="BB20" s="75" t="n">
        <f aca="false">SUM(AR20:BA20)</f>
        <v>34.9800000000002</v>
      </c>
      <c r="BC20" s="61"/>
    </row>
    <row r="21" customFormat="false" ht="13.5" hidden="false" customHeight="false" outlineLevel="0" collapsed="false">
      <c r="A21" s="90"/>
      <c r="B21" s="62" t="n">
        <v>1350</v>
      </c>
      <c r="C21" s="62" t="n">
        <f aca="false">0.21+0.21</f>
        <v>0.42</v>
      </c>
      <c r="D21" s="69" t="n">
        <f aca="false">0.21/C21</f>
        <v>0.5</v>
      </c>
      <c r="E21" s="63" t="n">
        <f aca="false">SUM(F21:J21)</f>
        <v>56.5</v>
      </c>
      <c r="F21" s="50" t="n">
        <v>0</v>
      </c>
      <c r="G21" s="63" t="n">
        <v>0</v>
      </c>
      <c r="H21" s="63" t="n">
        <v>0</v>
      </c>
      <c r="I21" s="50" t="n">
        <v>37</v>
      </c>
      <c r="J21" s="63" t="n">
        <v>19.5</v>
      </c>
      <c r="K21" s="65" t="n">
        <f aca="false">E21*D21</f>
        <v>28.25</v>
      </c>
      <c r="L21" s="65" t="n">
        <f aca="false">F21*D21</f>
        <v>0</v>
      </c>
      <c r="M21" s="65" t="n">
        <f aca="false">G21*D21</f>
        <v>0</v>
      </c>
      <c r="N21" s="65" t="n">
        <f aca="false">H21*D21</f>
        <v>0</v>
      </c>
      <c r="O21" s="65" t="n">
        <f aca="false">I21*D21</f>
        <v>18.5</v>
      </c>
      <c r="P21" s="65" t="n">
        <f aca="false">K21-L21-M21-N21-O21</f>
        <v>9.75</v>
      </c>
      <c r="Q21" s="65" t="n">
        <f aca="false">N21*$I$26/100+M21*$I$25/100</f>
        <v>0</v>
      </c>
      <c r="R21" s="65" t="n">
        <f aca="false">L21*$J$24/100+M21*$J$25/100+N21*$J$26/100+P21*$J$28/100</f>
        <v>6.99996655282889</v>
      </c>
      <c r="S21" s="65" t="n">
        <f aca="false">M21*$K$25/100+N21*$K$26/100+O21*$K$29/100+P21*$K$28/100</f>
        <v>21.250033447171</v>
      </c>
      <c r="T21" s="63" t="n">
        <f aca="false">0.21/C21</f>
        <v>0.5</v>
      </c>
      <c r="U21" s="50" t="n">
        <f aca="false">SUM(V21:Z21)</f>
        <v>59</v>
      </c>
      <c r="V21" s="63" t="n">
        <v>0</v>
      </c>
      <c r="W21" s="63" t="n">
        <v>0</v>
      </c>
      <c r="X21" s="63" t="n">
        <v>0</v>
      </c>
      <c r="Y21" s="31" t="n">
        <v>40</v>
      </c>
      <c r="Z21" s="31" t="n">
        <v>19</v>
      </c>
      <c r="AA21" s="66" t="n">
        <f aca="false">U21*T21</f>
        <v>29.5</v>
      </c>
      <c r="AB21" s="52" t="n">
        <f aca="false">V21*T21</f>
        <v>0</v>
      </c>
      <c r="AC21" s="66" t="n">
        <f aca="false">W21*T21</f>
        <v>0</v>
      </c>
      <c r="AD21" s="66" t="n">
        <f aca="false">X21*T21</f>
        <v>0</v>
      </c>
      <c r="AE21" s="67" t="n">
        <f aca="false">Y21*T21</f>
        <v>20</v>
      </c>
      <c r="AF21" s="66" t="n">
        <f aca="false">AA21-AC21-AD21-AE21</f>
        <v>9.5</v>
      </c>
      <c r="AG21" s="66" t="n">
        <f aca="false">AC21*$L$27/100+AD21*$L$30/100</f>
        <v>0</v>
      </c>
      <c r="AH21" s="52" t="n">
        <f aca="false">AC21*$J$27/100+AD21*$J$30/100+AF21*$J$28/100+AB21*$J$24/100</f>
        <v>6.82048023096148</v>
      </c>
      <c r="AI21" s="66" t="n">
        <f aca="false">AC21*$K$27/100+AD21*$K$30/100+AE21*$K$29/100+AF21*$K$28/100</f>
        <v>22.6795197690384</v>
      </c>
      <c r="AJ21" s="68" t="n">
        <f aca="false">Q21</f>
        <v>0</v>
      </c>
      <c r="AK21" s="68" t="n">
        <f aca="false">AG21</f>
        <v>0</v>
      </c>
      <c r="AL21" s="68" t="n">
        <f aca="false">SUM(R21,AH21)</f>
        <v>13.8204467837904</v>
      </c>
      <c r="AM21" s="68" t="n">
        <f aca="false">SUM(S21,AI21)</f>
        <v>43.9295532162094</v>
      </c>
      <c r="AN21" s="69" t="n">
        <v>0.21</v>
      </c>
      <c r="AO21" s="69" t="n">
        <v>0.21</v>
      </c>
      <c r="AP21" s="69" t="n">
        <v>15.62</v>
      </c>
      <c r="AQ21" s="70" t="n">
        <v>83.14</v>
      </c>
      <c r="AR21" s="71" t="n">
        <f aca="false">AN21-AJ21</f>
        <v>0.21</v>
      </c>
      <c r="AS21" s="72" t="n">
        <f aca="false">AO21-AK21</f>
        <v>0.21</v>
      </c>
      <c r="AT21" s="72" t="n">
        <f aca="false">AP21-AL21</f>
        <v>1.79955321620962</v>
      </c>
      <c r="AU21" s="73" t="n">
        <f aca="false">AQ21-AM21</f>
        <v>39.2104467837906</v>
      </c>
      <c r="AV21" s="74" t="n">
        <v>0.39</v>
      </c>
      <c r="AW21" s="74" t="n">
        <v>0.05</v>
      </c>
      <c r="AX21" s="74" t="n">
        <v>0.05</v>
      </c>
      <c r="AY21" s="74" t="n">
        <v>0.1</v>
      </c>
      <c r="AZ21" s="74" t="n">
        <v>0.12</v>
      </c>
      <c r="BA21" s="74" t="n">
        <v>0.09</v>
      </c>
      <c r="BB21" s="75" t="n">
        <f aca="false">SUM(AR21:BA21)</f>
        <v>42.2300000000002</v>
      </c>
      <c r="BC21" s="61"/>
    </row>
    <row r="22" customFormat="false" ht="13.5" hidden="false" customHeight="false" outlineLevel="0" collapsed="false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50"/>
      <c r="X22" s="50"/>
      <c r="Y22" s="50"/>
      <c r="Z22" s="50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</row>
    <row r="23" customFormat="false" ht="16.5" hidden="false" customHeight="false" outlineLevel="0" collapsed="false">
      <c r="A23" s="96"/>
      <c r="B23" s="96"/>
      <c r="C23" s="97" t="s">
        <v>37</v>
      </c>
      <c r="D23" s="97"/>
      <c r="E23" s="97"/>
      <c r="F23" s="97"/>
      <c r="G23" s="97"/>
      <c r="H23" s="97"/>
      <c r="I23" s="98" t="s">
        <v>38</v>
      </c>
      <c r="J23" s="98" t="s">
        <v>39</v>
      </c>
      <c r="K23" s="98" t="s">
        <v>40</v>
      </c>
      <c r="L23" s="99" t="s">
        <v>41</v>
      </c>
      <c r="M23" s="100"/>
      <c r="O23" s="96"/>
      <c r="P23" s="96"/>
      <c r="Q23" s="96"/>
      <c r="R23" s="96" t="s">
        <v>42</v>
      </c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</row>
    <row r="24" customFormat="false" ht="12.75" hidden="false" customHeight="false" outlineLevel="0" collapsed="false">
      <c r="A24" s="96"/>
      <c r="B24" s="96"/>
      <c r="C24" s="101" t="s">
        <v>43</v>
      </c>
      <c r="D24" s="101"/>
      <c r="E24" s="101"/>
      <c r="F24" s="101"/>
      <c r="G24" s="101"/>
      <c r="H24" s="101"/>
      <c r="I24" s="102" t="n">
        <v>0</v>
      </c>
      <c r="J24" s="102" t="n">
        <v>100</v>
      </c>
      <c r="K24" s="102" t="n">
        <v>0</v>
      </c>
      <c r="L24" s="103" t="n">
        <v>0</v>
      </c>
      <c r="M24" s="100"/>
      <c r="O24" s="96"/>
      <c r="P24" s="96"/>
      <c r="Q24" s="96" t="n">
        <v>1150</v>
      </c>
      <c r="R24" s="104" t="n">
        <f aca="false">P11+AF11</f>
        <v>33.6409395973154</v>
      </c>
      <c r="S24" s="104" t="n">
        <f aca="false">L11+AB11</f>
        <v>3.22147651006711</v>
      </c>
      <c r="T24" s="104" t="n">
        <f aca="false">AD11</f>
        <v>30.0335570469799</v>
      </c>
      <c r="U24" s="105" t="n">
        <f aca="false">100-R24-S24-T24</f>
        <v>33.1040268456376</v>
      </c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</row>
    <row r="25" customFormat="false" ht="16.5" hidden="false" customHeight="false" outlineLevel="0" collapsed="false">
      <c r="A25" s="96"/>
      <c r="B25" s="96"/>
      <c r="C25" s="106" t="s">
        <v>44</v>
      </c>
      <c r="D25" s="106"/>
      <c r="E25" s="106"/>
      <c r="F25" s="106"/>
      <c r="G25" s="106"/>
      <c r="H25" s="106"/>
      <c r="I25" s="107" t="n">
        <v>21.8152956</v>
      </c>
      <c r="J25" s="107" t="n">
        <v>35.888113</v>
      </c>
      <c r="K25" s="107" t="n">
        <v>42.2965914</v>
      </c>
      <c r="L25" s="108" t="n">
        <v>0</v>
      </c>
      <c r="M25" s="100"/>
      <c r="O25" s="96"/>
      <c r="P25" s="96"/>
      <c r="Q25" s="96" t="n">
        <v>1200</v>
      </c>
      <c r="R25" s="104" t="n">
        <f aca="false">AF12</f>
        <v>33.5570469798658</v>
      </c>
      <c r="S25" s="104" t="n">
        <f aca="false">L12</f>
        <v>2.81879194630872</v>
      </c>
      <c r="T25" s="104" t="n">
        <f aca="false">AD12</f>
        <v>28.5234899328859</v>
      </c>
      <c r="U25" s="109" t="n">
        <f aca="false">100-R25-S25-T25</f>
        <v>35.1006711409396</v>
      </c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</row>
    <row r="26" customFormat="false" ht="27" hidden="false" customHeight="false" outlineLevel="0" collapsed="false">
      <c r="A26" s="96"/>
      <c r="B26" s="96"/>
      <c r="C26" s="110" t="s">
        <v>45</v>
      </c>
      <c r="D26" s="110"/>
      <c r="E26" s="110"/>
      <c r="F26" s="110"/>
      <c r="G26" s="110"/>
      <c r="H26" s="110"/>
      <c r="I26" s="111" t="n">
        <v>11.81808474531</v>
      </c>
      <c r="J26" s="111" t="n">
        <v>19.441425362575</v>
      </c>
      <c r="K26" s="111" t="n">
        <v>68.740489892113</v>
      </c>
      <c r="L26" s="112" t="n">
        <v>0</v>
      </c>
      <c r="M26" s="113"/>
      <c r="O26" s="96"/>
      <c r="P26" s="96"/>
      <c r="Q26" s="96" t="n">
        <v>1250</v>
      </c>
      <c r="R26" s="104" t="n">
        <f aca="false">AF13</f>
        <v>33.0536912751678</v>
      </c>
      <c r="S26" s="104" t="n">
        <f aca="false">L13</f>
        <v>2.57718120805369</v>
      </c>
      <c r="T26" s="104" t="n">
        <f aca="false">AD13</f>
        <v>27.2651006711409</v>
      </c>
      <c r="U26" s="109" t="n">
        <f aca="false">100-R26-S26-T26</f>
        <v>37.1040268456376</v>
      </c>
      <c r="V26" s="96"/>
      <c r="W26" s="96"/>
      <c r="X26" s="96"/>
      <c r="Y26" s="96"/>
      <c r="AD26" s="114"/>
      <c r="AE26" s="115" t="s">
        <v>46</v>
      </c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</row>
    <row r="27" customFormat="false" ht="15.75" hidden="false" customHeight="false" outlineLevel="0" collapsed="false">
      <c r="A27" s="96"/>
      <c r="B27" s="96"/>
      <c r="C27" s="106" t="s">
        <v>47</v>
      </c>
      <c r="D27" s="106"/>
      <c r="E27" s="106"/>
      <c r="F27" s="106"/>
      <c r="G27" s="106"/>
      <c r="H27" s="106"/>
      <c r="I27" s="116" t="n">
        <v>0</v>
      </c>
      <c r="J27" s="116" t="n">
        <v>18.316273187486</v>
      </c>
      <c r="K27" s="116" t="n">
        <v>64.762205878654</v>
      </c>
      <c r="L27" s="117" t="n">
        <v>16.921520933858</v>
      </c>
      <c r="M27" s="113"/>
      <c r="O27" s="118"/>
      <c r="P27" s="96"/>
      <c r="Q27" s="96"/>
      <c r="R27" s="96" t="s">
        <v>48</v>
      </c>
      <c r="T27" s="96"/>
      <c r="U27" s="109"/>
      <c r="V27" s="96"/>
      <c r="W27" s="96"/>
      <c r="X27" s="96"/>
      <c r="Y27" s="96"/>
      <c r="AD27" s="119" t="n">
        <v>1100</v>
      </c>
      <c r="AE27" s="120" t="n">
        <f aca="false">100-SUM(AJ10:AM10)</f>
        <v>12.4316778523503</v>
      </c>
      <c r="AF27" s="95" t="n">
        <f aca="false">BB16</f>
        <v>12.9800000000002</v>
      </c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</row>
    <row r="28" customFormat="false" ht="15.75" hidden="false" customHeight="false" outlineLevel="0" collapsed="false">
      <c r="A28" s="96"/>
      <c r="B28" s="96"/>
      <c r="C28" s="106" t="s">
        <v>49</v>
      </c>
      <c r="D28" s="106"/>
      <c r="E28" s="106"/>
      <c r="F28" s="106"/>
      <c r="G28" s="106"/>
      <c r="H28" s="106"/>
      <c r="I28" s="116" t="n">
        <v>0</v>
      </c>
      <c r="J28" s="116" t="n">
        <v>71.794528746963</v>
      </c>
      <c r="K28" s="116" t="n">
        <v>28.205471253036</v>
      </c>
      <c r="L28" s="117" t="n">
        <v>0</v>
      </c>
      <c r="M28" s="113"/>
      <c r="O28" s="118"/>
      <c r="P28" s="96"/>
      <c r="Q28" s="96" t="n">
        <v>1150</v>
      </c>
      <c r="R28" s="104" t="n">
        <f aca="false">P17+AF17</f>
        <v>20</v>
      </c>
      <c r="S28" s="104" t="n">
        <f aca="false">O17+AE17</f>
        <v>62.5</v>
      </c>
      <c r="T28" s="96"/>
      <c r="U28" s="109" t="n">
        <f aca="false">100-R28-S28-T28</f>
        <v>17.5</v>
      </c>
      <c r="V28" s="96"/>
      <c r="W28" s="96"/>
      <c r="X28" s="96"/>
      <c r="Y28" s="96"/>
      <c r="AD28" s="119" t="n">
        <v>1150</v>
      </c>
      <c r="AE28" s="120" t="n">
        <f aca="false">100-SUM(AJ11:AM11)</f>
        <v>33.1040268456385</v>
      </c>
      <c r="AF28" s="95" t="n">
        <f aca="false">BB17</f>
        <v>17.4800000000002</v>
      </c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</row>
    <row r="29" customFormat="false" ht="16.5" hidden="false" customHeight="true" outlineLevel="0" collapsed="false">
      <c r="A29" s="96"/>
      <c r="B29" s="96"/>
      <c r="C29" s="106" t="s">
        <v>30</v>
      </c>
      <c r="D29" s="106"/>
      <c r="E29" s="106"/>
      <c r="F29" s="106"/>
      <c r="G29" s="106"/>
      <c r="H29" s="106"/>
      <c r="I29" s="121" t="n">
        <v>0</v>
      </c>
      <c r="J29" s="121" t="n">
        <v>0</v>
      </c>
      <c r="K29" s="121" t="n">
        <v>100</v>
      </c>
      <c r="L29" s="122" t="n">
        <v>0</v>
      </c>
      <c r="M29" s="113"/>
      <c r="O29" s="118"/>
      <c r="P29" s="96"/>
      <c r="Q29" s="96" t="n">
        <v>1200</v>
      </c>
      <c r="R29" s="104" t="n">
        <f aca="false">P18+AF18</f>
        <v>19.75</v>
      </c>
      <c r="S29" s="104" t="n">
        <f aca="false">O18+AE18</f>
        <v>57</v>
      </c>
      <c r="T29" s="96"/>
      <c r="U29" s="109" t="n">
        <f aca="false">100-R29-S29-T29</f>
        <v>23.25</v>
      </c>
      <c r="V29" s="96"/>
      <c r="W29" s="96"/>
      <c r="X29" s="96"/>
      <c r="Y29" s="96"/>
      <c r="AD29" s="119" t="n">
        <v>1200</v>
      </c>
      <c r="AE29" s="120" t="n">
        <f aca="false">100-SUM(AJ12:AM12)</f>
        <v>35.1006711409405</v>
      </c>
      <c r="AF29" s="95" t="n">
        <f aca="false">BB18</f>
        <v>23.2300000000002</v>
      </c>
      <c r="AG29" s="96"/>
      <c r="AH29" s="96"/>
      <c r="AI29" s="96"/>
      <c r="AJ29" s="96"/>
      <c r="AK29" s="96"/>
      <c r="AL29" s="96"/>
      <c r="AM29" s="96"/>
      <c r="AN29" s="123" t="s">
        <v>50</v>
      </c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</row>
    <row r="30" customFormat="false" ht="15.75" hidden="false" customHeight="true" outlineLevel="0" collapsed="false">
      <c r="A30" s="96"/>
      <c r="B30" s="96"/>
      <c r="C30" s="124" t="s">
        <v>51</v>
      </c>
      <c r="D30" s="124"/>
      <c r="E30" s="124"/>
      <c r="F30" s="124"/>
      <c r="G30" s="124"/>
      <c r="H30" s="124"/>
      <c r="I30" s="125" t="n">
        <v>0</v>
      </c>
      <c r="J30" s="125" t="n">
        <v>23.358839835964</v>
      </c>
      <c r="K30" s="125" t="n">
        <v>55.061055236087</v>
      </c>
      <c r="L30" s="126" t="n">
        <v>21.580104927947</v>
      </c>
      <c r="M30" s="127"/>
      <c r="O30" s="96"/>
      <c r="P30" s="96"/>
      <c r="Q30" s="96" t="n">
        <v>1250</v>
      </c>
      <c r="R30" s="104" t="n">
        <f aca="false">P19+AF19</f>
        <v>19.5</v>
      </c>
      <c r="S30" s="104" t="n">
        <f aca="false">O19+AE19</f>
        <v>51.5</v>
      </c>
      <c r="T30" s="96"/>
      <c r="U30" s="128" t="n">
        <f aca="false">100-R30-S30-T30</f>
        <v>29</v>
      </c>
      <c r="V30" s="96"/>
      <c r="W30" s="96"/>
      <c r="X30" s="96"/>
      <c r="Y30" s="96"/>
      <c r="AD30" s="119" t="n">
        <v>1250</v>
      </c>
      <c r="AE30" s="120" t="n">
        <f aca="false">100-SUM(AJ13:AM13)</f>
        <v>37.1040268456385</v>
      </c>
      <c r="AF30" s="95" t="n">
        <f aca="false">BB19</f>
        <v>28.9800000000002</v>
      </c>
      <c r="AG30" s="96"/>
      <c r="AH30" s="96"/>
      <c r="AI30" s="96"/>
      <c r="AJ30" s="96"/>
      <c r="AK30" s="96"/>
      <c r="AL30" s="96"/>
      <c r="AM30" s="129" t="s">
        <v>52</v>
      </c>
      <c r="AN30" s="129"/>
      <c r="AO30" s="130" t="s">
        <v>53</v>
      </c>
      <c r="AP30" s="131" t="s">
        <v>54</v>
      </c>
      <c r="AQ30" s="131"/>
      <c r="AR30" s="131"/>
      <c r="AS30" s="131"/>
      <c r="AT30" s="131"/>
      <c r="AU30" s="131"/>
      <c r="AV30" s="131"/>
      <c r="AW30" s="131"/>
      <c r="AX30" s="131"/>
      <c r="AY30" s="131"/>
      <c r="AZ30" s="132" t="s">
        <v>17</v>
      </c>
    </row>
    <row r="31" customFormat="false" ht="15" hidden="false" customHeight="false" outlineLevel="0" collapsed="false">
      <c r="A31" s="96"/>
      <c r="B31" s="96"/>
      <c r="C31" s="41"/>
      <c r="D31" s="41"/>
      <c r="E31" s="41"/>
      <c r="F31" s="41"/>
      <c r="G31" s="41"/>
      <c r="H31" s="41"/>
      <c r="O31" s="96"/>
      <c r="R31" s="100"/>
      <c r="W31" s="96"/>
      <c r="X31" s="96"/>
      <c r="Y31" s="96"/>
      <c r="AD31" s="119" t="n">
        <v>1300</v>
      </c>
      <c r="AE31" s="120" t="n">
        <f aca="false">100-SUM(AJ14:AM14)</f>
        <v>38.8523489932894</v>
      </c>
      <c r="AF31" s="95" t="n">
        <f aca="false">BB20</f>
        <v>34.9800000000002</v>
      </c>
      <c r="AG31" s="96"/>
      <c r="AH31" s="96"/>
      <c r="AI31" s="96"/>
      <c r="AJ31" s="96"/>
      <c r="AK31" s="96"/>
      <c r="AL31" s="96"/>
      <c r="AM31" s="129"/>
      <c r="AN31" s="129"/>
      <c r="AO31" s="130"/>
      <c r="AP31" s="133" t="s">
        <v>9</v>
      </c>
      <c r="AQ31" s="133" t="s">
        <v>10</v>
      </c>
      <c r="AR31" s="133" t="s">
        <v>8</v>
      </c>
      <c r="AS31" s="133" t="s">
        <v>7</v>
      </c>
      <c r="AT31" s="134" t="s">
        <v>11</v>
      </c>
      <c r="AU31" s="134" t="s">
        <v>12</v>
      </c>
      <c r="AV31" s="134" t="s">
        <v>13</v>
      </c>
      <c r="AW31" s="134" t="s">
        <v>14</v>
      </c>
      <c r="AX31" s="134" t="s">
        <v>15</v>
      </c>
      <c r="AY31" s="134" t="s">
        <v>16</v>
      </c>
      <c r="AZ31" s="132"/>
      <c r="BB31" s="0" t="s">
        <v>55</v>
      </c>
    </row>
    <row r="32" customFormat="false" ht="13.5" hidden="false" customHeight="false" outlineLevel="0" collapsed="false">
      <c r="A32" s="96"/>
      <c r="B32" s="96"/>
      <c r="C32" s="96"/>
      <c r="D32" s="96"/>
      <c r="O32" s="96"/>
      <c r="R32" s="100"/>
      <c r="W32" s="96"/>
      <c r="X32" s="96"/>
      <c r="Y32" s="96"/>
      <c r="AD32" s="135" t="n">
        <v>1350</v>
      </c>
      <c r="AE32" s="136" t="n">
        <f aca="false">100-SUM(AJ15:AM15)</f>
        <v>49.828859060403</v>
      </c>
      <c r="AF32" s="95" t="n">
        <f aca="false">BB21</f>
        <v>42.2300000000002</v>
      </c>
      <c r="AG32" s="96"/>
      <c r="AH32" s="96"/>
      <c r="AI32" s="96"/>
      <c r="AJ32" s="96"/>
      <c r="AK32" s="96"/>
      <c r="AL32" s="96"/>
      <c r="AM32" s="137" t="str">
        <f aca="false">A10</f>
        <v>K3-K4 плагиоклаз-серицитовая порода</v>
      </c>
      <c r="AN32" s="137"/>
      <c r="AO32" s="138" t="n">
        <v>1100</v>
      </c>
      <c r="AP32" s="139" t="n">
        <f aca="false">AR10*100/BB10</f>
        <v>13.2312089194078</v>
      </c>
      <c r="AQ32" s="139" t="n">
        <f aca="false">AS10*100/BB10</f>
        <v>0.574673871365021</v>
      </c>
      <c r="AR32" s="139" t="n">
        <f aca="false">AT10*100/BB10</f>
        <v>11.8923341292451</v>
      </c>
      <c r="AS32" s="139" t="n">
        <f aca="false">AU10*100/BB10</f>
        <v>53.8701082073921</v>
      </c>
      <c r="AT32" s="140" t="n">
        <f aca="false">AV10*100/BB10</f>
        <v>12.6290273818765</v>
      </c>
      <c r="AU32" s="140" t="n">
        <f aca="false">AW10*100/BB10</f>
        <v>4.02198324263583</v>
      </c>
      <c r="AV32" s="128" t="n">
        <f aca="false">AX10*100/BB10</f>
        <v>0.0804396648527166</v>
      </c>
      <c r="AW32" s="141" t="n">
        <f aca="false">AY10*100/BB10</f>
        <v>2.73494860499237</v>
      </c>
      <c r="AX32" s="141" t="n">
        <f aca="false">AZ10*100/BB10</f>
        <v>0.0804396648527166</v>
      </c>
      <c r="AY32" s="141" t="n">
        <f aca="false">BA10*100/BB10</f>
        <v>0.884836313379883</v>
      </c>
      <c r="AZ32" s="142" t="n">
        <f aca="false">SUM(AP32:AY32)</f>
        <v>100</v>
      </c>
      <c r="BB32" s="143" t="n">
        <f aca="false">(AP32+AQ32+AV32+AW32+AX32)/(AR32+AS32+AU32+AT32+AY32+AJ10+AK10)</f>
        <v>0.181516684713517</v>
      </c>
    </row>
    <row r="33" customFormat="false" ht="12.75" hidden="false" customHeight="false" outlineLevel="0" collapsed="false">
      <c r="A33" s="96"/>
      <c r="B33" s="96"/>
      <c r="C33" s="96"/>
      <c r="D33" s="96"/>
      <c r="O33" s="96"/>
      <c r="R33" s="100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37"/>
      <c r="AN33" s="137"/>
      <c r="AO33" s="138" t="n">
        <v>1150</v>
      </c>
      <c r="AP33" s="139" t="n">
        <f aca="false">AR11*100/BB11</f>
        <v>5.07491130258475</v>
      </c>
      <c r="AQ33" s="139" t="n">
        <f aca="false">AS11*100/BB11</f>
        <v>6.85332599035707</v>
      </c>
      <c r="AR33" s="139" t="n">
        <f aca="false">AT11*100/BB11</f>
        <v>16.5861361155412</v>
      </c>
      <c r="AS33" s="139" t="n">
        <f aca="false">AU11*100/BB11</f>
        <v>63.8128440268949</v>
      </c>
      <c r="AT33" s="140" t="n">
        <f aca="false">AV11*100/BB11</f>
        <v>4.74262544348694</v>
      </c>
      <c r="AU33" s="140" t="n">
        <f aca="false">AW11*100/BB11</f>
        <v>1.51039026862641</v>
      </c>
      <c r="AV33" s="128" t="n">
        <f aca="false">AX11*100/BB11</f>
        <v>0.0302078053725283</v>
      </c>
      <c r="AW33" s="141" t="n">
        <f aca="false">AY11*100/BB11</f>
        <v>1.02706538266596</v>
      </c>
      <c r="AX33" s="141" t="n">
        <f aca="false">AZ11*100/BB11</f>
        <v>0.0302078053725283</v>
      </c>
      <c r="AY33" s="141" t="n">
        <f aca="false">BA11*100/BB11</f>
        <v>0.332285859097811</v>
      </c>
      <c r="AZ33" s="142" t="n">
        <f aca="false">SUM(AP33:AY33)</f>
        <v>100</v>
      </c>
      <c r="BB33" s="143" t="n">
        <f aca="false">(AP33+AQ33+AV33+AW33+AX33)/(AR33+AS33+AU33+AT33+AY33+AJ11+AK11)</f>
        <v>0.139256845036818</v>
      </c>
    </row>
    <row r="34" customFormat="false" ht="14.25" hidden="false" customHeight="false" outlineLevel="0" collapsed="false">
      <c r="A34" s="96"/>
      <c r="B34" s="144"/>
      <c r="C34" s="145" t="s">
        <v>27</v>
      </c>
      <c r="D34" s="145" t="s">
        <v>28</v>
      </c>
      <c r="E34" s="11" t="s">
        <v>32</v>
      </c>
      <c r="F34" s="11" t="s">
        <v>33</v>
      </c>
      <c r="G34" s="145" t="s">
        <v>31</v>
      </c>
      <c r="H34" s="145" t="s">
        <v>30</v>
      </c>
      <c r="I34" s="145" t="s">
        <v>56</v>
      </c>
      <c r="O34" s="96"/>
      <c r="R34" s="100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137"/>
      <c r="AN34" s="137"/>
      <c r="AO34" s="138" t="n">
        <v>1200</v>
      </c>
      <c r="AP34" s="139" t="n">
        <f aca="false">AR12*100/BB12</f>
        <v>4.78623326959835</v>
      </c>
      <c r="AQ34" s="139" t="n">
        <f aca="false">AS12*100/BB12</f>
        <v>7.39188414076946</v>
      </c>
      <c r="AR34" s="139" t="n">
        <f aca="false">AT12*100/BB12</f>
        <v>17.9664028608672</v>
      </c>
      <c r="AS34" s="139" t="n">
        <f aca="false">AU12*100/BB12</f>
        <v>62.6191508568722</v>
      </c>
      <c r="AT34" s="140" t="n">
        <f aca="false">AV12*100/BB12</f>
        <v>4.47284894837465</v>
      </c>
      <c r="AU34" s="140" t="n">
        <f aca="false">AW12*100/BB12</f>
        <v>1.42447418738046</v>
      </c>
      <c r="AV34" s="128" t="n">
        <f aca="false">AX12*100/BB12</f>
        <v>0.0284894837476092</v>
      </c>
      <c r="AW34" s="141" t="n">
        <f aca="false">AY12*100/BB12</f>
        <v>0.968642447418713</v>
      </c>
      <c r="AX34" s="141" t="n">
        <f aca="false">AZ12*100/BB12</f>
        <v>0.0284894837476092</v>
      </c>
      <c r="AY34" s="141" t="n">
        <f aca="false">BA12*100/BB12</f>
        <v>0.313384321223701</v>
      </c>
      <c r="AZ34" s="142" t="n">
        <f aca="false">SUM(AP34:AY34)</f>
        <v>100</v>
      </c>
      <c r="BB34" s="143" t="n">
        <f aca="false">(AP34+AQ34+AV34+AW34+AX34)/(AR34+AS34+AU34+AT34+AY34+AJ12+AK12)</f>
        <v>0.142049521142699</v>
      </c>
    </row>
    <row r="35" customFormat="false" ht="12.75" hidden="false" customHeight="false" outlineLevel="0" collapsed="false">
      <c r="A35" s="96"/>
      <c r="B35" s="11" t="n">
        <v>1100</v>
      </c>
      <c r="C35" s="146" t="n">
        <f aca="false">L10+AB10</f>
        <v>3.51463087248322</v>
      </c>
      <c r="D35" s="146" t="n">
        <v>0.16</v>
      </c>
      <c r="E35" s="146" t="n">
        <f aca="false">AC10</f>
        <v>38.2130872483221</v>
      </c>
      <c r="F35" s="146" t="n">
        <f aca="false">AD10</f>
        <v>10.251677852349</v>
      </c>
      <c r="G35" s="146" t="n">
        <f aca="false">AF10</f>
        <v>35.4278523489933</v>
      </c>
      <c r="H35" s="146" t="n">
        <v>0</v>
      </c>
      <c r="I35" s="74" t="n">
        <f aca="false">100-C35-D35-E35-F35-G35-H35</f>
        <v>12.4327516778524</v>
      </c>
      <c r="O35" s="96"/>
      <c r="R35" s="100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137"/>
      <c r="AN35" s="137"/>
      <c r="AO35" s="138" t="n">
        <v>1250</v>
      </c>
      <c r="AP35" s="139" t="n">
        <f aca="false">AR13*100/BB13</f>
        <v>4.52781043682724</v>
      </c>
      <c r="AQ35" s="139" t="n">
        <f aca="false">AS13*100/BB13</f>
        <v>7.72466740168478</v>
      </c>
      <c r="AR35" s="139" t="n">
        <f aca="false">AT13*100/BB13</f>
        <v>19.4137033711858</v>
      </c>
      <c r="AS35" s="139" t="n">
        <f aca="false">AU13*100/BB13</f>
        <v>61.4882006298609</v>
      </c>
      <c r="AT35" s="140" t="n">
        <f aca="false">AV13*100/BB13</f>
        <v>4.23134665822546</v>
      </c>
      <c r="AU35" s="140" t="n">
        <f aca="false">AW13*100/BB13</f>
        <v>1.34756263000811</v>
      </c>
      <c r="AV35" s="128" t="n">
        <f aca="false">AX13*100/BB13</f>
        <v>0.0269512526001622</v>
      </c>
      <c r="AW35" s="141" t="n">
        <f aca="false">AY13*100/BB13</f>
        <v>0.916342588405513</v>
      </c>
      <c r="AX35" s="141" t="n">
        <f aca="false">AZ13*100/BB13</f>
        <v>0.0269512526001622</v>
      </c>
      <c r="AY35" s="141" t="n">
        <f aca="false">BA13*100/BB13</f>
        <v>0.296463778601784</v>
      </c>
      <c r="AZ35" s="142" t="n">
        <f aca="false">SUM(AP35:AY35)</f>
        <v>100</v>
      </c>
      <c r="BB35" s="143" t="n">
        <f aca="false">(AP35+AQ35+AV35+AW35+AX35)/(AR35+AS35+AU35+AT35+AY35+AJ13+AK13)</f>
        <v>0.142699804740472</v>
      </c>
    </row>
    <row r="36" customFormat="false" ht="12.75" hidden="false" customHeight="false" outlineLevel="0" collapsed="false">
      <c r="A36" s="41"/>
      <c r="B36" s="11" t="n">
        <v>1150</v>
      </c>
      <c r="C36" s="146" t="n">
        <f aca="false">L11+AB11</f>
        <v>3.22147651006711</v>
      </c>
      <c r="D36" s="146" t="n">
        <v>0</v>
      </c>
      <c r="E36" s="146" t="n">
        <f aca="false">AC11</f>
        <v>0</v>
      </c>
      <c r="F36" s="146" t="n">
        <f aca="false">AD11</f>
        <v>30.0335570469799</v>
      </c>
      <c r="G36" s="146" t="n">
        <f aca="false">AF11</f>
        <v>33.6409395973154</v>
      </c>
      <c r="H36" s="146" t="n">
        <v>0</v>
      </c>
      <c r="I36" s="74" t="n">
        <f aca="false">100-C36-D36-E36-F36-G36-H36</f>
        <v>33.1040268456376</v>
      </c>
      <c r="Q36" s="113"/>
      <c r="W36" s="41"/>
      <c r="X36" s="41"/>
      <c r="Y36" s="41"/>
      <c r="Z36" s="41"/>
      <c r="AA36" s="147"/>
      <c r="AB36" s="147"/>
      <c r="AC36" s="147"/>
      <c r="AD36" s="147"/>
      <c r="AE36" s="41"/>
      <c r="AF36" s="147"/>
      <c r="AG36" s="147"/>
      <c r="AH36" s="147"/>
      <c r="AI36" s="147"/>
      <c r="AJ36" s="147"/>
      <c r="AK36" s="147"/>
      <c r="AL36" s="147"/>
      <c r="AM36" s="137"/>
      <c r="AN36" s="137"/>
      <c r="AO36" s="138" t="n">
        <v>1300</v>
      </c>
      <c r="AP36" s="139" t="n">
        <f aca="false">AR14*100/BB14</f>
        <v>4.32406287787173</v>
      </c>
      <c r="AQ36" s="139" t="n">
        <f aca="false">AS14*100/BB14</f>
        <v>8.07602235346422</v>
      </c>
      <c r="AR36" s="139" t="n">
        <f aca="false">AT14*100/BB14</f>
        <v>20.4358792149798</v>
      </c>
      <c r="AS36" s="139" t="n">
        <f aca="false">AU14*100/BB14</f>
        <v>60.6264642978544</v>
      </c>
      <c r="AT36" s="140" t="n">
        <f aca="false">AV14*100/BB14</f>
        <v>4.04093971324918</v>
      </c>
      <c r="AU36" s="140" t="n">
        <f aca="false">AW14*100/BB14</f>
        <v>1.28692347555706</v>
      </c>
      <c r="AV36" s="128" t="n">
        <f aca="false">AX14*100/BB14</f>
        <v>0.0257384695111413</v>
      </c>
      <c r="AW36" s="141" t="n">
        <f aca="false">AY14*100/BB14</f>
        <v>0.875107963378803</v>
      </c>
      <c r="AX36" s="141" t="n">
        <f aca="false">AZ14*100/BB14</f>
        <v>0.0257384695111413</v>
      </c>
      <c r="AY36" s="141" t="n">
        <f aca="false">BA14*100/BB14</f>
        <v>0.283123164622554</v>
      </c>
      <c r="AZ36" s="142" t="n">
        <f aca="false">SUM(AP36:AY36)</f>
        <v>100</v>
      </c>
      <c r="BA36" s="148"/>
      <c r="BB36" s="143" t="n">
        <f aca="false">(AP36+AQ36+AV36+AW36+AX36)/(AR36+AS36+AU36+AT36+AY36+AJ14+AK14)</f>
        <v>0.144406812578143</v>
      </c>
      <c r="BC36" s="148"/>
      <c r="BD36" s="148"/>
      <c r="BE36" s="148"/>
      <c r="BF36" s="148"/>
      <c r="BG36" s="148"/>
      <c r="BH36" s="148"/>
    </row>
    <row r="37" customFormat="false" ht="13.5" hidden="false" customHeight="false" outlineLevel="0" collapsed="false">
      <c r="A37" s="41"/>
      <c r="B37" s="11" t="n">
        <v>1200</v>
      </c>
      <c r="C37" s="146" t="n">
        <f aca="false">L12+AB12</f>
        <v>2.81879194630873</v>
      </c>
      <c r="D37" s="146" t="n">
        <v>0</v>
      </c>
      <c r="E37" s="146" t="n">
        <f aca="false">AC12</f>
        <v>0</v>
      </c>
      <c r="F37" s="146" t="n">
        <f aca="false">AD12</f>
        <v>28.5234899328859</v>
      </c>
      <c r="G37" s="146" t="n">
        <f aca="false">AF12</f>
        <v>33.5570469798658</v>
      </c>
      <c r="H37" s="146" t="n">
        <v>0</v>
      </c>
      <c r="I37" s="74" t="n">
        <f aca="false">100-C37-D37-E37-F37-G37-H37</f>
        <v>35.1006711409396</v>
      </c>
      <c r="Q37" s="113"/>
      <c r="W37" s="41"/>
      <c r="X37" s="41"/>
      <c r="Y37" s="41"/>
      <c r="Z37" s="41"/>
      <c r="AA37" s="147"/>
      <c r="AB37" s="147"/>
      <c r="AC37" s="147"/>
      <c r="AD37" s="147"/>
      <c r="AE37" s="41"/>
      <c r="AF37" s="147"/>
      <c r="AG37" s="147"/>
      <c r="AH37" s="147"/>
      <c r="AI37" s="147"/>
      <c r="AL37" s="147"/>
      <c r="AM37" s="137"/>
      <c r="AN37" s="137"/>
      <c r="AO37" s="149" t="n">
        <v>1350</v>
      </c>
      <c r="AP37" s="150" t="n">
        <f aca="false">AR15*100/BB15</f>
        <v>3.37154017105527</v>
      </c>
      <c r="AQ37" s="150" t="n">
        <f aca="false">AS15*100/BB15</f>
        <v>14.8351608364266</v>
      </c>
      <c r="AR37" s="150" t="n">
        <f aca="false">AT15*100/BB15</f>
        <v>0.896381617553287</v>
      </c>
      <c r="AS37" s="150" t="n">
        <f aca="false">AU15*100/BB15</f>
        <v>75.7994697353932</v>
      </c>
      <c r="AT37" s="151" t="n">
        <f aca="false">AV15*100/BB15</f>
        <v>3.15078456461712</v>
      </c>
      <c r="AU37" s="151" t="n">
        <f aca="false">AW15*100/BB15</f>
        <v>1.00343457471883</v>
      </c>
      <c r="AV37" s="152" t="n">
        <f aca="false">AX15*100/BB15</f>
        <v>0.0200686914943766</v>
      </c>
      <c r="AW37" s="153" t="n">
        <f aca="false">AY15*100/BB15</f>
        <v>0.682335510808804</v>
      </c>
      <c r="AX37" s="153" t="n">
        <f aca="false">AZ15*100/BB15</f>
        <v>0.0200686914943766</v>
      </c>
      <c r="AY37" s="153" t="n">
        <f aca="false">BA15*100/BB15</f>
        <v>0.220755606438142</v>
      </c>
      <c r="AZ37" s="153" t="n">
        <f aca="false">SUM(AP37:AY37)</f>
        <v>100</v>
      </c>
      <c r="BA37" s="148"/>
      <c r="BB37" s="143" t="n">
        <f aca="false">(AP37+AQ37+AV37+AW37+AX37)/(AR37+AS37+AU37+AT37+AY37+AJ15+AK15)</f>
        <v>0.229643181243048</v>
      </c>
      <c r="BC37" s="148"/>
      <c r="BD37" s="148"/>
      <c r="BE37" s="148"/>
      <c r="BF37" s="148"/>
      <c r="BG37" s="148"/>
      <c r="BH37" s="148"/>
    </row>
    <row r="38" customFormat="false" ht="12.75" hidden="false" customHeight="false" outlineLevel="0" collapsed="false">
      <c r="A38" s="38"/>
      <c r="B38" s="11" t="n">
        <v>1250</v>
      </c>
      <c r="C38" s="146" t="n">
        <f aca="false">L13+AB13</f>
        <v>2.57718120805369</v>
      </c>
      <c r="D38" s="146" t="n">
        <v>0</v>
      </c>
      <c r="E38" s="146" t="n">
        <f aca="false">AC13</f>
        <v>0</v>
      </c>
      <c r="F38" s="146" t="n">
        <f aca="false">AD13</f>
        <v>27.2651006711409</v>
      </c>
      <c r="G38" s="146" t="n">
        <f aca="false">AF13</f>
        <v>33.0536912751678</v>
      </c>
      <c r="H38" s="146" t="n">
        <v>0</v>
      </c>
      <c r="I38" s="74" t="n">
        <f aca="false">100-C38-D38-E38-F38-G38-H38</f>
        <v>37.1040268456376</v>
      </c>
      <c r="Q38" s="113"/>
      <c r="W38" s="41"/>
      <c r="X38" s="41"/>
      <c r="Y38" s="41"/>
      <c r="Z38" s="41"/>
      <c r="AA38" s="147"/>
      <c r="AB38" s="147"/>
      <c r="AC38" s="147"/>
      <c r="AD38" s="147"/>
      <c r="AE38" s="41"/>
      <c r="AF38" s="147"/>
      <c r="AG38" s="147"/>
      <c r="AH38" s="147"/>
      <c r="AI38" s="147"/>
      <c r="AL38" s="147"/>
      <c r="AM38" s="154" t="str">
        <f aca="false">A16</f>
        <v>Ch-9 кварц-пирофиллитовая порода</v>
      </c>
      <c r="AN38" s="154"/>
      <c r="AO38" s="138" t="n">
        <v>1100</v>
      </c>
      <c r="AP38" s="139" t="n">
        <f aca="false">AR16*100/BB16</f>
        <v>1.61787365177193</v>
      </c>
      <c r="AQ38" s="139" t="n">
        <f aca="false">AS16*100/BB16</f>
        <v>1.61787365177193</v>
      </c>
      <c r="AR38" s="139" t="n">
        <f aca="false">AT16*100/BB16</f>
        <v>9.71567219266086</v>
      </c>
      <c r="AS38" s="139" t="n">
        <f aca="false">AU16*100/BB16</f>
        <v>80.8852523065689</v>
      </c>
      <c r="AT38" s="140" t="n">
        <f aca="false">AV16*100/BB16</f>
        <v>3.00462249614787</v>
      </c>
      <c r="AU38" s="140" t="n">
        <f aca="false">AW16*100/BB16</f>
        <v>0.38520801232665</v>
      </c>
      <c r="AV38" s="128" t="n">
        <f aca="false">AX16*100/BB16</f>
        <v>0.38520801232665</v>
      </c>
      <c r="AW38" s="141" t="n">
        <f aca="false">AY16*100/BB16</f>
        <v>0.770416024653301</v>
      </c>
      <c r="AX38" s="141" t="n">
        <f aca="false">AZ16*100/BB16</f>
        <v>0.924499229583961</v>
      </c>
      <c r="AY38" s="141" t="n">
        <f aca="false">BA16*100/BB16</f>
        <v>0.693374422187971</v>
      </c>
      <c r="AZ38" s="141" t="n">
        <f aca="false">SUM(AP38:AY38)</f>
        <v>100</v>
      </c>
      <c r="BA38" s="148"/>
      <c r="BB38" s="143" t="n">
        <f aca="false">(AP38+AQ38+AV38+AW38+AX38)/(AR38+AS38+AU38+AT38+AY38+AJ16+AK16)</f>
        <v>0.0561432058584206</v>
      </c>
      <c r="BC38" s="148"/>
      <c r="BD38" s="148"/>
      <c r="BE38" s="148"/>
      <c r="BF38" s="148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</row>
    <row r="39" customFormat="false" ht="12.75" hidden="false" customHeight="false" outlineLevel="0" collapsed="false">
      <c r="A39" s="38"/>
      <c r="B39" s="11" t="n">
        <v>1300</v>
      </c>
      <c r="C39" s="146" t="n">
        <f aca="false">L14+AB14</f>
        <v>2.25503355704698</v>
      </c>
      <c r="D39" s="146" t="n">
        <v>0</v>
      </c>
      <c r="E39" s="146" t="n">
        <f aca="false">AC14</f>
        <v>0</v>
      </c>
      <c r="F39" s="146" t="n">
        <f aca="false">AD14</f>
        <v>26.006711409396</v>
      </c>
      <c r="G39" s="146" t="n">
        <f aca="false">AF14</f>
        <v>32.8859060402685</v>
      </c>
      <c r="H39" s="146" t="n">
        <v>0</v>
      </c>
      <c r="I39" s="74" t="n">
        <f aca="false">100-C39-D39-E39-F39-G39-H39</f>
        <v>38.8523489932886</v>
      </c>
      <c r="Q39" s="113"/>
      <c r="W39" s="41"/>
      <c r="X39" s="41"/>
      <c r="Y39" s="41"/>
      <c r="Z39" s="41"/>
      <c r="AA39" s="147"/>
      <c r="AB39" s="147"/>
      <c r="AC39" s="147"/>
      <c r="AD39" s="147"/>
      <c r="AE39" s="41"/>
      <c r="AF39" s="147"/>
      <c r="AG39" s="147"/>
      <c r="AH39" s="147"/>
      <c r="AI39" s="147"/>
      <c r="AL39" s="147"/>
      <c r="AM39" s="154"/>
      <c r="AN39" s="154"/>
      <c r="AO39" s="138" t="n">
        <v>1150</v>
      </c>
      <c r="AP39" s="156" t="n">
        <f aca="false">AR17*100/BB17</f>
        <v>1.20137299771166</v>
      </c>
      <c r="AQ39" s="156" t="n">
        <f aca="false">AS17*100/BB17</f>
        <v>1.20137299771166</v>
      </c>
      <c r="AR39" s="156" t="n">
        <f aca="false">AT17*100/BB17</f>
        <v>7.21449800118641</v>
      </c>
      <c r="AS39" s="156" t="n">
        <f aca="false">AU17*100/BB17</f>
        <v>85.8060969644887</v>
      </c>
      <c r="AT39" s="157" t="n">
        <f aca="false">AV17*100/BB17</f>
        <v>2.2311212814645</v>
      </c>
      <c r="AU39" s="157" t="n">
        <f aca="false">AW17*100/BB17</f>
        <v>0.286041189931347</v>
      </c>
      <c r="AV39" s="158" t="n">
        <f aca="false">AX17*100/BB17</f>
        <v>0.286041189931347</v>
      </c>
      <c r="AW39" s="159" t="n">
        <f aca="false">AY17*100/BB17</f>
        <v>0.572082379862693</v>
      </c>
      <c r="AX39" s="159" t="n">
        <f aca="false">AZ17*100/BB17</f>
        <v>0.686498855835232</v>
      </c>
      <c r="AY39" s="159" t="n">
        <f aca="false">BA17*100/BB17</f>
        <v>0.514874141876424</v>
      </c>
      <c r="AZ39" s="159" t="n">
        <f aca="false">SUM(AP39:AY39)</f>
        <v>100</v>
      </c>
      <c r="BA39" s="148"/>
      <c r="BB39" s="143" t="n">
        <f aca="false">(AP39+AQ39+AV39+AW39+AX39)/(AR39+AS39+AU39+AT39+AY39+AJ17+AK17)</f>
        <v>0.0410958904109584</v>
      </c>
      <c r="BC39" s="148"/>
      <c r="BD39" s="148"/>
      <c r="BE39" s="148"/>
      <c r="BF39" s="148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</row>
    <row r="40" customFormat="false" ht="12.75" hidden="false" customHeight="false" outlineLevel="0" collapsed="false">
      <c r="A40" s="38"/>
      <c r="B40" s="11" t="n">
        <v>1350</v>
      </c>
      <c r="C40" s="146" t="n">
        <f aca="false">L15+AB15</f>
        <v>22.9060402684564</v>
      </c>
      <c r="D40" s="146" t="n">
        <v>0</v>
      </c>
      <c r="E40" s="146" t="n">
        <f aca="false">AC15</f>
        <v>0</v>
      </c>
      <c r="F40" s="146" t="n">
        <f aca="false">AD15</f>
        <v>6.29194630872483</v>
      </c>
      <c r="G40" s="146" t="n">
        <f aca="false">AF15</f>
        <v>20.9731543624161</v>
      </c>
      <c r="H40" s="146" t="n">
        <v>0</v>
      </c>
      <c r="I40" s="74" t="n">
        <f aca="false">100-C40-D40-E40-F40-G40-H40</f>
        <v>49.8288590604027</v>
      </c>
      <c r="Q40" s="113"/>
      <c r="W40" s="41"/>
      <c r="X40" s="41"/>
      <c r="Y40" s="41"/>
      <c r="Z40" s="41"/>
      <c r="AA40" s="147"/>
      <c r="AB40" s="147"/>
      <c r="AC40" s="147"/>
      <c r="AD40" s="147"/>
      <c r="AE40" s="41"/>
      <c r="AF40" s="147"/>
      <c r="AG40" s="147"/>
      <c r="AH40" s="147"/>
      <c r="AI40" s="147"/>
      <c r="AL40" s="147"/>
      <c r="AM40" s="154"/>
      <c r="AN40" s="154"/>
      <c r="AO40" s="138" t="n">
        <v>1200</v>
      </c>
      <c r="AP40" s="156" t="n">
        <f aca="false">AR18*100/BB18</f>
        <v>0.904003443822635</v>
      </c>
      <c r="AQ40" s="156" t="n">
        <f aca="false">AS18*100/BB18</f>
        <v>0.904003443822635</v>
      </c>
      <c r="AR40" s="156" t="n">
        <f aca="false">AT18*100/BB18</f>
        <v>6.20137999343433</v>
      </c>
      <c r="AS40" s="156" t="n">
        <f aca="false">AU18*100/BB18</f>
        <v>88.5467904757865</v>
      </c>
      <c r="AT40" s="157" t="n">
        <f aca="false">AV18*100/BB18</f>
        <v>1.67886353852775</v>
      </c>
      <c r="AU40" s="157" t="n">
        <f aca="false">AW18*100/BB18</f>
        <v>0.215238915195866</v>
      </c>
      <c r="AV40" s="158" t="n">
        <f aca="false">AX18*100/BB18</f>
        <v>0.215238915195866</v>
      </c>
      <c r="AW40" s="159" t="n">
        <f aca="false">AY18*100/BB18</f>
        <v>0.430477830391731</v>
      </c>
      <c r="AX40" s="159" t="n">
        <f aca="false">AZ18*100/BB18</f>
        <v>0.516573396470077</v>
      </c>
      <c r="AY40" s="159" t="n">
        <f aca="false">BA18*100/BB18</f>
        <v>0.387430047352558</v>
      </c>
      <c r="AZ40" s="159" t="n">
        <f aca="false">SUM(AP40:AY40)</f>
        <v>100</v>
      </c>
      <c r="BA40" s="148"/>
      <c r="BB40" s="143" t="n">
        <f aca="false">(AP40+AQ40+AV40+AW40+AX40)/(AR40+AS40+AU40+AT40+AY40+AJ18+AK18)</f>
        <v>0.0306122448979589</v>
      </c>
      <c r="BC40" s="148"/>
      <c r="BD40" s="148"/>
      <c r="BE40" s="148"/>
      <c r="BF40" s="148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</row>
    <row r="41" customFormat="false" ht="12.75" hidden="false" customHeight="false" outlineLevel="0" collapsed="false">
      <c r="A41" s="38"/>
      <c r="B41" s="38"/>
      <c r="C41" s="41"/>
      <c r="D41" s="147"/>
      <c r="Q41" s="113"/>
      <c r="W41" s="41"/>
      <c r="X41" s="41"/>
      <c r="Y41" s="41"/>
      <c r="Z41" s="41"/>
      <c r="AA41" s="147"/>
      <c r="AB41" s="147"/>
      <c r="AC41" s="147"/>
      <c r="AD41" s="147"/>
      <c r="AE41" s="41"/>
      <c r="AF41" s="147"/>
      <c r="AG41" s="147"/>
      <c r="AH41" s="147"/>
      <c r="AI41" s="147"/>
      <c r="AL41" s="147"/>
      <c r="AM41" s="154"/>
      <c r="AN41" s="154"/>
      <c r="AO41" s="138" t="n">
        <v>1250</v>
      </c>
      <c r="AP41" s="156" t="n">
        <f aca="false">AR19*100/BB19</f>
        <v>0.724637681159415</v>
      </c>
      <c r="AQ41" s="156" t="n">
        <f aca="false">AS19*100/BB19</f>
        <v>0.724637681159415</v>
      </c>
      <c r="AR41" s="156" t="n">
        <f aca="false">AT19*100/BB19</f>
        <v>5.59029294113942</v>
      </c>
      <c r="AS41" s="156" t="n">
        <f aca="false">AU19*100/BB19</f>
        <v>90.1999071968868</v>
      </c>
      <c r="AT41" s="157" t="n">
        <f aca="false">AV19*100/BB19</f>
        <v>1.34575569358177</v>
      </c>
      <c r="AU41" s="157" t="n">
        <f aca="false">AW19*100/BB19</f>
        <v>0.172532781228432</v>
      </c>
      <c r="AV41" s="158" t="n">
        <f aca="false">AX19*100/BB19</f>
        <v>0.172532781228432</v>
      </c>
      <c r="AW41" s="159" t="n">
        <f aca="false">AY19*100/BB19</f>
        <v>0.345065562456864</v>
      </c>
      <c r="AX41" s="159" t="n">
        <f aca="false">AZ19*100/BB19</f>
        <v>0.414078674948237</v>
      </c>
      <c r="AY41" s="159" t="n">
        <f aca="false">BA19*100/BB19</f>
        <v>0.310559006211178</v>
      </c>
      <c r="AZ41" s="159" t="n">
        <f aca="false">SUM(AP41:AY41)</f>
        <v>100</v>
      </c>
      <c r="BA41" s="148"/>
      <c r="BB41" s="143" t="n">
        <f aca="false">(AP41+AQ41+AV41+AW41+AX41)/(AR41+AS41+AU41+AT41+AY41+AJ19+AK19)</f>
        <v>0.0243902439024389</v>
      </c>
      <c r="BC41" s="148"/>
      <c r="BD41" s="148"/>
      <c r="BE41" s="148"/>
      <c r="BF41" s="148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</row>
    <row r="42" customFormat="false" ht="14.25" hidden="false" customHeight="true" outlineLevel="0" collapsed="false">
      <c r="A42" s="38"/>
      <c r="B42" s="144"/>
      <c r="C42" s="145" t="s">
        <v>27</v>
      </c>
      <c r="D42" s="145" t="s">
        <v>28</v>
      </c>
      <c r="E42" s="11" t="s">
        <v>32</v>
      </c>
      <c r="F42" s="11" t="s">
        <v>33</v>
      </c>
      <c r="G42" s="145" t="s">
        <v>31</v>
      </c>
      <c r="H42" s="145" t="s">
        <v>30</v>
      </c>
      <c r="I42" s="145" t="s">
        <v>56</v>
      </c>
      <c r="Q42" s="113"/>
      <c r="R42" s="147"/>
      <c r="S42" s="147"/>
      <c r="T42" s="147"/>
      <c r="U42" s="41"/>
      <c r="V42" s="41"/>
      <c r="W42" s="41"/>
      <c r="X42" s="41"/>
      <c r="Y42" s="41"/>
      <c r="Z42" s="41"/>
      <c r="AA42" s="147"/>
      <c r="AB42" s="147"/>
      <c r="AC42" s="147"/>
      <c r="AD42" s="147"/>
      <c r="AE42" s="41"/>
      <c r="AF42" s="147"/>
      <c r="AG42" s="147"/>
      <c r="AH42" s="147"/>
      <c r="AI42" s="147"/>
      <c r="AL42" s="147"/>
      <c r="AM42" s="154"/>
      <c r="AN42" s="154"/>
      <c r="AO42" s="138" t="n">
        <v>1300</v>
      </c>
      <c r="AP42" s="156" t="n">
        <f aca="false">AR20*100/BB20</f>
        <v>0.600343053173239</v>
      </c>
      <c r="AQ42" s="156" t="n">
        <f aca="false">AS20*100/BB20</f>
        <v>0.600343053173239</v>
      </c>
      <c r="AR42" s="156" t="n">
        <f aca="false">AT20*100/BB20</f>
        <v>5.14452034365241</v>
      </c>
      <c r="AS42" s="156" t="n">
        <f aca="false">AU20*100/BB20</f>
        <v>91.3677723950554</v>
      </c>
      <c r="AT42" s="157" t="n">
        <f aca="false">AV20*100/BB20</f>
        <v>1.11492281303601</v>
      </c>
      <c r="AU42" s="157" t="n">
        <f aca="false">AW20*100/BB20</f>
        <v>0.142938822184104</v>
      </c>
      <c r="AV42" s="158" t="n">
        <f aca="false">AX20*100/BB20</f>
        <v>0.142938822184104</v>
      </c>
      <c r="AW42" s="159" t="n">
        <f aca="false">AY20*100/BB20</f>
        <v>0.285877644368209</v>
      </c>
      <c r="AX42" s="159" t="n">
        <f aca="false">AZ20*100/BB20</f>
        <v>0.343053173241851</v>
      </c>
      <c r="AY42" s="159" t="n">
        <f aca="false">BA20*100/BB20</f>
        <v>0.257289879931388</v>
      </c>
      <c r="AZ42" s="159" t="n">
        <f aca="false">SUM(AP42:AY42)</f>
        <v>100</v>
      </c>
      <c r="BA42" s="148"/>
      <c r="BB42" s="143" t="n">
        <f aca="false">(AP42+AQ42+AV42+AW42+AX42)/(AR42+AS42+AU42+AT42+AY42+AJ20+AK20)</f>
        <v>0.0201224846894137</v>
      </c>
      <c r="BC42" s="148"/>
      <c r="BD42" s="148"/>
      <c r="BE42" s="148"/>
      <c r="BF42" s="148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</row>
    <row r="43" customFormat="false" ht="13.5" hidden="false" customHeight="false" outlineLevel="0" collapsed="false">
      <c r="A43" s="41"/>
      <c r="B43" s="11" t="n">
        <v>1100</v>
      </c>
      <c r="C43" s="146" t="n">
        <v>0</v>
      </c>
      <c r="D43" s="146" t="n">
        <v>0</v>
      </c>
      <c r="E43" s="146" t="n">
        <v>0</v>
      </c>
      <c r="F43" s="146" t="n">
        <v>0</v>
      </c>
      <c r="G43" s="146" t="n">
        <f aca="false">P16+AF16</f>
        <v>20</v>
      </c>
      <c r="H43" s="146" t="n">
        <f aca="false">O16+AE16</f>
        <v>67</v>
      </c>
      <c r="I43" s="74" t="n">
        <f aca="false">100-C43-D43-E43-F43-G43-H43</f>
        <v>13</v>
      </c>
      <c r="J43" s="41"/>
      <c r="K43" s="147"/>
      <c r="L43" s="147"/>
      <c r="M43" s="147"/>
      <c r="N43" s="147"/>
      <c r="O43" s="41"/>
      <c r="Q43" s="113"/>
      <c r="R43" s="147"/>
      <c r="S43" s="147"/>
      <c r="T43" s="147"/>
      <c r="U43" s="41"/>
      <c r="V43" s="41"/>
      <c r="W43" s="41"/>
      <c r="X43" s="41"/>
      <c r="Y43" s="41"/>
      <c r="Z43" s="41"/>
      <c r="AA43" s="147"/>
      <c r="AB43" s="147"/>
      <c r="AC43" s="147"/>
      <c r="AD43" s="147"/>
      <c r="AE43" s="41"/>
      <c r="AF43" s="147"/>
      <c r="AG43" s="147"/>
      <c r="AH43" s="147"/>
      <c r="AI43" s="147"/>
      <c r="AL43" s="147"/>
      <c r="AM43" s="154"/>
      <c r="AN43" s="154"/>
      <c r="AO43" s="160" t="n">
        <v>1350</v>
      </c>
      <c r="AP43" s="156" t="n">
        <f aca="false">AR21*100/BB21</f>
        <v>0.497276817428366</v>
      </c>
      <c r="AQ43" s="156" t="n">
        <f aca="false">AS21*100/BB21</f>
        <v>0.497276817428366</v>
      </c>
      <c r="AR43" s="156" t="n">
        <f aca="false">AT21*100/BB21</f>
        <v>4.26131474357001</v>
      </c>
      <c r="AS43" s="156" t="n">
        <f aca="false">AU21*100/BB21</f>
        <v>92.8497437456557</v>
      </c>
      <c r="AT43" s="157" t="n">
        <f aca="false">AV21*100/BB21</f>
        <v>0.923514089509823</v>
      </c>
      <c r="AU43" s="157" t="n">
        <f aca="false">AW21*100/BB21</f>
        <v>0.118399242244849</v>
      </c>
      <c r="AV43" s="158" t="n">
        <f aca="false">AX21*100/BB21</f>
        <v>0.118399242244849</v>
      </c>
      <c r="AW43" s="159" t="n">
        <f aca="false">AY21*100/BB21</f>
        <v>0.236798484489698</v>
      </c>
      <c r="AX43" s="159" t="n">
        <f aca="false">AZ21*100/BB21</f>
        <v>0.284158181387638</v>
      </c>
      <c r="AY43" s="159" t="n">
        <f aca="false">BA21*100/BB21</f>
        <v>0.213118636040728</v>
      </c>
      <c r="AZ43" s="159" t="n">
        <f aca="false">SUM(AP43:AY43)</f>
        <v>100</v>
      </c>
      <c r="BA43" s="148"/>
      <c r="BB43" s="143" t="n">
        <f aca="false">(AP43+AQ43+AV43+AW43+AX43)/(AR43+AS43+AU43+AT43+AY43+AJ21+AK21)</f>
        <v>0.0166104959075589</v>
      </c>
      <c r="BC43" s="148"/>
      <c r="BD43" s="148"/>
      <c r="BE43" s="148"/>
      <c r="BF43" s="148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</row>
    <row r="44" customFormat="false" ht="13.5" hidden="false" customHeight="true" outlineLevel="0" collapsed="false">
      <c r="A44" s="41"/>
      <c r="B44" s="11" t="n">
        <v>1150</v>
      </c>
      <c r="C44" s="146" t="n">
        <v>0</v>
      </c>
      <c r="D44" s="146" t="n">
        <v>0</v>
      </c>
      <c r="E44" s="146" t="n">
        <v>0</v>
      </c>
      <c r="F44" s="146" t="n">
        <v>0</v>
      </c>
      <c r="G44" s="146" t="n">
        <f aca="false">P17+AF17</f>
        <v>20</v>
      </c>
      <c r="H44" s="146" t="n">
        <f aca="false">O17+AE17</f>
        <v>62.5</v>
      </c>
      <c r="I44" s="74" t="n">
        <f aca="false">100-C44-D44-E44-F44-G44-H44</f>
        <v>17.5</v>
      </c>
      <c r="J44" s="41"/>
      <c r="K44" s="147"/>
      <c r="L44" s="147"/>
      <c r="M44" s="147"/>
      <c r="N44" s="147"/>
      <c r="O44" s="41"/>
      <c r="P44" s="147"/>
      <c r="Q44" s="147"/>
      <c r="R44" s="147"/>
      <c r="S44" s="147"/>
      <c r="T44" s="147"/>
      <c r="U44" s="41"/>
      <c r="V44" s="41"/>
      <c r="W44" s="41"/>
      <c r="X44" s="41"/>
      <c r="Y44" s="41"/>
      <c r="Z44" s="41"/>
      <c r="AA44" s="147"/>
      <c r="AB44" s="147"/>
      <c r="AC44" s="147"/>
      <c r="AD44" s="147"/>
      <c r="AE44" s="41"/>
      <c r="AF44" s="147"/>
      <c r="AG44" s="147"/>
      <c r="AH44" s="147"/>
      <c r="AI44" s="147"/>
      <c r="AL44" s="147"/>
      <c r="AM44" s="148"/>
      <c r="AN44" s="148"/>
      <c r="AO44" s="148"/>
      <c r="AP44" s="148"/>
      <c r="AQ44" s="148"/>
      <c r="AR44" s="148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</row>
    <row r="45" customFormat="false" ht="12.75" hidden="false" customHeight="false" outlineLevel="0" collapsed="false">
      <c r="A45" s="41"/>
      <c r="B45" s="11" t="n">
        <v>1200</v>
      </c>
      <c r="C45" s="146" t="n">
        <v>0</v>
      </c>
      <c r="D45" s="146" t="n">
        <v>0</v>
      </c>
      <c r="E45" s="146" t="n">
        <v>0</v>
      </c>
      <c r="F45" s="146" t="n">
        <v>0</v>
      </c>
      <c r="G45" s="146" t="n">
        <f aca="false">P18+AF18</f>
        <v>19.75</v>
      </c>
      <c r="H45" s="146" t="n">
        <f aca="false">O18+AE18</f>
        <v>57</v>
      </c>
      <c r="I45" s="74" t="n">
        <f aca="false">100-C45-D45-E45-F45-G45-H45</f>
        <v>23.25</v>
      </c>
      <c r="J45" s="41"/>
      <c r="K45" s="147"/>
      <c r="L45" s="147"/>
      <c r="M45" s="147"/>
      <c r="N45" s="147"/>
      <c r="O45" s="41"/>
      <c r="P45" s="147"/>
      <c r="Q45" s="147"/>
      <c r="R45" s="147"/>
      <c r="S45" s="147"/>
      <c r="T45" s="147"/>
      <c r="U45" s="41"/>
      <c r="V45" s="41"/>
      <c r="W45" s="41"/>
      <c r="X45" s="41"/>
      <c r="Y45" s="41"/>
      <c r="Z45" s="41"/>
      <c r="AA45" s="147"/>
      <c r="AB45" s="147"/>
      <c r="AC45" s="147"/>
      <c r="AD45" s="147"/>
      <c r="AE45" s="41"/>
      <c r="AF45" s="147"/>
      <c r="AG45" s="147"/>
      <c r="AH45" s="147"/>
      <c r="AI45" s="147"/>
      <c r="AL45" s="147"/>
      <c r="AM45" s="148"/>
      <c r="AN45" s="148"/>
      <c r="AO45" s="148"/>
      <c r="AP45" s="148"/>
      <c r="AQ45" s="148"/>
      <c r="AR45" s="148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</row>
    <row r="46" customFormat="false" ht="12.75" hidden="false" customHeight="false" outlineLevel="0" collapsed="false">
      <c r="A46" s="41"/>
      <c r="B46" s="11" t="n">
        <v>1250</v>
      </c>
      <c r="C46" s="146" t="n">
        <v>0</v>
      </c>
      <c r="D46" s="146" t="n">
        <v>0</v>
      </c>
      <c r="E46" s="146" t="n">
        <v>0</v>
      </c>
      <c r="F46" s="146" t="n">
        <v>0</v>
      </c>
      <c r="G46" s="146" t="n">
        <f aca="false">P19+AF19</f>
        <v>19.5</v>
      </c>
      <c r="H46" s="146" t="n">
        <f aca="false">O19+AE19</f>
        <v>51.5</v>
      </c>
      <c r="I46" s="74" t="n">
        <f aca="false">100-C46-D46-E46-F46-G46-H46</f>
        <v>29</v>
      </c>
      <c r="J46" s="41"/>
      <c r="K46" s="147"/>
      <c r="L46" s="147"/>
      <c r="M46" s="147"/>
      <c r="N46" s="147"/>
      <c r="O46" s="41"/>
      <c r="P46" s="147"/>
      <c r="Q46" s="147"/>
      <c r="R46" s="147"/>
      <c r="S46" s="147"/>
      <c r="T46" s="147"/>
      <c r="U46" s="41"/>
      <c r="V46" s="41"/>
      <c r="W46" s="41"/>
      <c r="X46" s="41"/>
      <c r="Y46" s="41"/>
      <c r="Z46" s="41"/>
      <c r="AA46" s="147"/>
      <c r="AB46" s="147"/>
      <c r="AC46" s="147"/>
      <c r="AD46" s="147"/>
      <c r="AE46" s="41"/>
      <c r="AF46" s="147"/>
      <c r="AG46" s="147"/>
      <c r="AH46" s="147"/>
      <c r="AI46" s="147"/>
      <c r="AL46" s="147"/>
      <c r="AM46" s="148"/>
      <c r="AN46" s="148"/>
      <c r="AO46" s="148"/>
      <c r="AP46" s="148"/>
      <c r="AQ46" s="148"/>
      <c r="AR46" s="148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</row>
    <row r="47" customFormat="false" ht="13.5" hidden="false" customHeight="true" outlineLevel="0" collapsed="false">
      <c r="A47" s="41"/>
      <c r="B47" s="11" t="n">
        <v>1300</v>
      </c>
      <c r="C47" s="146" t="n">
        <v>0</v>
      </c>
      <c r="D47" s="146" t="n">
        <v>0</v>
      </c>
      <c r="E47" s="146" t="n">
        <v>0</v>
      </c>
      <c r="F47" s="146" t="n">
        <v>0</v>
      </c>
      <c r="G47" s="146" t="n">
        <f aca="false">P20+AF20</f>
        <v>19.25</v>
      </c>
      <c r="H47" s="146" t="n">
        <f aca="false">O20+AE20</f>
        <v>45.75</v>
      </c>
      <c r="I47" s="74" t="n">
        <f aca="false">100-C47-D47-E47-F47-G47-H47</f>
        <v>35</v>
      </c>
      <c r="J47" s="41"/>
      <c r="K47" s="147"/>
      <c r="L47" s="147"/>
      <c r="M47" s="147"/>
      <c r="N47" s="147"/>
      <c r="O47" s="41"/>
      <c r="P47" s="147"/>
      <c r="Q47" s="147"/>
      <c r="R47" s="147"/>
      <c r="S47" s="147"/>
      <c r="T47" s="147"/>
      <c r="U47" s="41"/>
      <c r="V47" s="41"/>
      <c r="W47" s="41"/>
      <c r="X47" s="41"/>
      <c r="Y47" s="41"/>
      <c r="Z47" s="41"/>
      <c r="AA47" s="147"/>
      <c r="AB47" s="147"/>
      <c r="AC47" s="147"/>
      <c r="AD47" s="147"/>
      <c r="AE47" s="41"/>
      <c r="AF47" s="147"/>
      <c r="AG47" s="147"/>
      <c r="AH47" s="147"/>
      <c r="AI47" s="147"/>
      <c r="AL47" s="147"/>
      <c r="AM47" s="148"/>
      <c r="AN47" s="148"/>
      <c r="AO47" s="148"/>
      <c r="AP47" s="148"/>
      <c r="AQ47" s="148"/>
      <c r="AR47" s="148"/>
    </row>
    <row r="48" customFormat="false" ht="12.75" hidden="false" customHeight="false" outlineLevel="0" collapsed="false">
      <c r="A48" s="41"/>
      <c r="B48" s="11" t="n">
        <v>1350</v>
      </c>
      <c r="C48" s="146" t="n">
        <v>0</v>
      </c>
      <c r="D48" s="146" t="n">
        <v>0</v>
      </c>
      <c r="E48" s="146" t="n">
        <v>0</v>
      </c>
      <c r="F48" s="146" t="n">
        <v>0</v>
      </c>
      <c r="G48" s="146" t="n">
        <f aca="false">P21+AF21</f>
        <v>19.25</v>
      </c>
      <c r="H48" s="146" t="n">
        <f aca="false">O21+AE21</f>
        <v>38.5</v>
      </c>
      <c r="I48" s="74" t="n">
        <f aca="false">100-C48-D48-E48-F48-G48-H48</f>
        <v>42.25</v>
      </c>
      <c r="J48" s="41"/>
      <c r="K48" s="147"/>
      <c r="L48" s="147"/>
      <c r="M48" s="147"/>
      <c r="N48" s="147"/>
      <c r="O48" s="41"/>
      <c r="P48" s="147"/>
      <c r="Q48" s="147"/>
      <c r="R48" s="147"/>
      <c r="S48" s="147"/>
      <c r="T48" s="147"/>
      <c r="U48" s="41"/>
      <c r="V48" s="41"/>
      <c r="W48" s="41"/>
      <c r="X48" s="41"/>
      <c r="Y48" s="41"/>
      <c r="Z48" s="41"/>
      <c r="AA48" s="147"/>
      <c r="AB48" s="147"/>
      <c r="AC48" s="147"/>
      <c r="AD48" s="147"/>
      <c r="AE48" s="41"/>
      <c r="AF48" s="147"/>
      <c r="AG48" s="147"/>
      <c r="AH48" s="147"/>
      <c r="AI48" s="147"/>
      <c r="AL48" s="147"/>
      <c r="AM48" s="148"/>
      <c r="AN48" s="148"/>
      <c r="AO48" s="148"/>
      <c r="AP48" s="148"/>
      <c r="AQ48" s="148"/>
      <c r="AR48" s="148"/>
    </row>
  </sheetData>
  <mergeCells count="44">
    <mergeCell ref="E2:Y2"/>
    <mergeCell ref="A5:A9"/>
    <mergeCell ref="B5:S6"/>
    <mergeCell ref="T5:AI6"/>
    <mergeCell ref="AJ5:AM8"/>
    <mergeCell ref="AN5:AQ8"/>
    <mergeCell ref="AR5:BB8"/>
    <mergeCell ref="B7:B9"/>
    <mergeCell ref="C7:C9"/>
    <mergeCell ref="D7:D9"/>
    <mergeCell ref="E7:E9"/>
    <mergeCell ref="F7:J8"/>
    <mergeCell ref="K7:K9"/>
    <mergeCell ref="L7:P8"/>
    <mergeCell ref="Q7:S8"/>
    <mergeCell ref="T7:T9"/>
    <mergeCell ref="U7:U9"/>
    <mergeCell ref="V7:Z8"/>
    <mergeCell ref="AA7:AA9"/>
    <mergeCell ref="AC7:AF8"/>
    <mergeCell ref="AG7:AI8"/>
    <mergeCell ref="A10:A15"/>
    <mergeCell ref="A16:A21"/>
    <mergeCell ref="C23:H23"/>
    <mergeCell ref="C24:H24"/>
    <mergeCell ref="C25:H25"/>
    <mergeCell ref="C26:H26"/>
    <mergeCell ref="C27:H27"/>
    <mergeCell ref="C28:H28"/>
    <mergeCell ref="C29:H29"/>
    <mergeCell ref="AN29:AY29"/>
    <mergeCell ref="C30:H30"/>
    <mergeCell ref="AM30:AN31"/>
    <mergeCell ref="AO30:AO31"/>
    <mergeCell ref="AP30:AY30"/>
    <mergeCell ref="AZ30:AZ31"/>
    <mergeCell ref="C31:H31"/>
    <mergeCell ref="AM32:AN37"/>
    <mergeCell ref="A36:A37"/>
    <mergeCell ref="A38:A42"/>
    <mergeCell ref="AM38:AN43"/>
    <mergeCell ref="A43:A44"/>
    <mergeCell ref="A45:A46"/>
    <mergeCell ref="A47:A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E2:Y2 F5"/>
    </sheetView>
  </sheetViews>
  <sheetFormatPr defaultRowHeight="12.75"/>
  <cols>
    <col collapsed="false" hidden="false" max="4" min="1" style="0" width="8.6734693877551"/>
    <col collapsed="false" hidden="false" max="6" min="5" style="0" width="19.1428571428571"/>
    <col collapsed="false" hidden="false" max="7" min="7" style="0" width="19.7091836734694"/>
    <col collapsed="false" hidden="false" max="8" min="8" style="0" width="20.5714285714286"/>
    <col collapsed="false" hidden="false" max="9" min="9" style="0" width="15.1479591836735"/>
    <col collapsed="false" hidden="false" max="1025" min="10" style="0" width="8.6734693877551"/>
  </cols>
  <sheetData>
    <row r="2" customFormat="false" ht="13.5" hidden="false" customHeight="false" outlineLevel="0" collapsed="false"/>
    <row r="3" customFormat="false" ht="12.75" hidden="false" customHeight="true" outlineLevel="0" collapsed="false">
      <c r="B3" s="161" t="s">
        <v>52</v>
      </c>
      <c r="C3" s="161"/>
      <c r="D3" s="162" t="s">
        <v>53</v>
      </c>
      <c r="E3" s="130" t="s">
        <v>57</v>
      </c>
      <c r="F3" s="163" t="s">
        <v>58</v>
      </c>
      <c r="G3" s="130" t="s">
        <v>59</v>
      </c>
      <c r="H3" s="163" t="s">
        <v>60</v>
      </c>
      <c r="I3" s="99" t="s">
        <v>61</v>
      </c>
    </row>
    <row r="4" customFormat="false" ht="13.5" hidden="false" customHeight="false" outlineLevel="0" collapsed="false">
      <c r="B4" s="161"/>
      <c r="C4" s="161"/>
      <c r="D4" s="162"/>
      <c r="E4" s="130"/>
      <c r="F4" s="163"/>
      <c r="G4" s="130"/>
      <c r="H4" s="163"/>
      <c r="I4" s="99"/>
    </row>
    <row r="5" customFormat="false" ht="12.75" hidden="false" customHeight="true" outlineLevel="0" collapsed="false">
      <c r="B5" s="164" t="s">
        <v>62</v>
      </c>
      <c r="C5" s="164"/>
      <c r="D5" s="165" t="n">
        <v>1100</v>
      </c>
      <c r="E5" s="166" t="n">
        <v>65.6997500112977</v>
      </c>
      <c r="F5" s="166" t="n">
        <v>3.8264332916657</v>
      </c>
      <c r="G5" s="166" t="n">
        <v>67055.3280723913</v>
      </c>
      <c r="H5" s="166" t="n">
        <v>277.02564093675</v>
      </c>
      <c r="I5" s="167" t="e">
        <f aca="false">(#REF!+#REF!+#REF!+#REF!+#REF!)/(#REF!+#REF!+#REF!+#REF!+#REF!+#REF!+#REF!)</f>
        <v>#REF!</v>
      </c>
    </row>
    <row r="6" customFormat="false" ht="12.75" hidden="false" customHeight="false" outlineLevel="0" collapsed="false">
      <c r="B6" s="164"/>
      <c r="C6" s="164"/>
      <c r="D6" s="168" t="n">
        <v>1150</v>
      </c>
      <c r="E6" s="169" t="n">
        <v>66.4971162877943</v>
      </c>
      <c r="F6" s="169" t="n">
        <v>3.63061176229081</v>
      </c>
      <c r="G6" s="169" t="n">
        <v>42718.0836946807</v>
      </c>
      <c r="H6" s="169" t="n">
        <v>277.037923118396</v>
      </c>
      <c r="I6" s="170" t="e">
        <f aca="false">(#REF!+#REF!+#REF!+#REF!+#REF!)/(#REF!+#REF!+#REF!+#REF!+#REF!+#REF!+#REF!)</f>
        <v>#REF!</v>
      </c>
    </row>
    <row r="7" customFormat="false" ht="13.5" hidden="false" customHeight="false" outlineLevel="0" collapsed="false">
      <c r="B7" s="164"/>
      <c r="C7" s="164"/>
      <c r="D7" s="171" t="n">
        <v>1200</v>
      </c>
      <c r="E7" s="172" t="n">
        <v>67.4835610671285</v>
      </c>
      <c r="F7" s="172" t="n">
        <v>3.42417435722778</v>
      </c>
      <c r="G7" s="172" t="n">
        <v>26556.7152668159</v>
      </c>
      <c r="H7" s="172" t="n">
        <v>278.846801700524</v>
      </c>
      <c r="I7" s="173" t="e">
        <f aca="false">(#REF!+#REF!+#REF!+#REF!+#REF!)/(#REF!+#REF!+#REF!+#REF!+#REF!+#REF!+#REF!)</f>
        <v>#REF!</v>
      </c>
    </row>
    <row r="8" customFormat="false" ht="12.75" hidden="false" customHeight="true" outlineLevel="0" collapsed="false">
      <c r="B8" s="154" t="s">
        <v>63</v>
      </c>
      <c r="C8" s="154"/>
      <c r="D8" s="174" t="n">
        <v>1100</v>
      </c>
      <c r="E8" s="175" t="n">
        <v>64.0244026750601</v>
      </c>
      <c r="F8" s="175" t="n">
        <v>3.87529179306792</v>
      </c>
      <c r="G8" s="175" t="n">
        <v>75039.8216327055</v>
      </c>
      <c r="H8" s="175" t="n">
        <v>274.918846800381</v>
      </c>
      <c r="I8" s="167" t="e">
        <f aca="false">(#REF!+#REF!+#REF!+#REF!+#REF!)/(#REF!+#REF!+#REF!+#REF!+#REF!+#REF!+#REF!)</f>
        <v>#REF!</v>
      </c>
    </row>
    <row r="9" customFormat="false" ht="12.75" hidden="false" customHeight="false" outlineLevel="0" collapsed="false">
      <c r="B9" s="154"/>
      <c r="C9" s="154"/>
      <c r="D9" s="168" t="n">
        <v>1150</v>
      </c>
      <c r="E9" s="169" t="n">
        <v>63.984885276849</v>
      </c>
      <c r="F9" s="169" t="n">
        <v>3.64944761004045</v>
      </c>
      <c r="G9" s="169" t="n">
        <v>44611.5805341403</v>
      </c>
      <c r="H9" s="169" t="n">
        <v>276.900169673798</v>
      </c>
      <c r="I9" s="170" t="e">
        <f aca="false">(#REF!+#REF!+#REF!+#REF!+#REF!)/(#REF!+#REF!+#REF!+#REF!+#REF!+#REF!+#REF!)</f>
        <v>#REF!</v>
      </c>
    </row>
    <row r="10" customFormat="false" ht="13.5" hidden="false" customHeight="false" outlineLevel="0" collapsed="false">
      <c r="B10" s="154"/>
      <c r="C10" s="154"/>
      <c r="D10" s="176" t="n">
        <v>1200</v>
      </c>
      <c r="E10" s="177" t="n">
        <v>63.9407268501503</v>
      </c>
      <c r="F10" s="177" t="n">
        <v>3.43230439916334</v>
      </c>
      <c r="G10" s="177" t="n">
        <v>27058.5424631969</v>
      </c>
      <c r="H10" s="177" t="n">
        <v>278.913941622116</v>
      </c>
      <c r="I10" s="178" t="e">
        <f aca="false">(#REF!+#REF!+#REF!+#REF!+#REF!)/(#REF!+#REF!+#REF!+#REF!+#REF!+#REF!+#REF!)</f>
        <v>#REF!</v>
      </c>
    </row>
    <row r="11" customFormat="false" ht="12.75" hidden="false" customHeight="true" outlineLevel="0" collapsed="false">
      <c r="B11" s="179" t="s">
        <v>64</v>
      </c>
      <c r="C11" s="179"/>
      <c r="D11" s="165" t="n">
        <v>1100</v>
      </c>
      <c r="E11" s="166" t="n">
        <v>56.9339660498645</v>
      </c>
      <c r="F11" s="166" t="n">
        <v>3.92976542861239</v>
      </c>
      <c r="G11" s="166" t="n">
        <v>85067.8445160226</v>
      </c>
      <c r="H11" s="166" t="n">
        <v>276.124448157527</v>
      </c>
      <c r="I11" s="180" t="e">
        <f aca="false">(#REF!+#REF!+#REF!+#REF!+#REF!)/(#REF!+#REF!+#REF!+#REF!+#REF!+#REF!+#REF!)</f>
        <v>#REF!</v>
      </c>
    </row>
    <row r="12" customFormat="false" ht="12.75" hidden="false" customHeight="false" outlineLevel="0" collapsed="false">
      <c r="B12" s="179"/>
      <c r="C12" s="179"/>
      <c r="D12" s="168" t="n">
        <v>1150</v>
      </c>
      <c r="E12" s="169" t="n">
        <v>56.7547219212835</v>
      </c>
      <c r="F12" s="169" t="n">
        <v>3.70645758632152</v>
      </c>
      <c r="G12" s="169" t="n">
        <v>50869.5137490099</v>
      </c>
      <c r="H12" s="169" t="n">
        <v>278.374376303496</v>
      </c>
      <c r="I12" s="170" t="e">
        <f aca="false">(#REF!+#REF!+#REF!+#REF!+#REF!)/(#REF!+#REF!+#REF!+#REF!+#REF!+#REF!+#REF!)</f>
        <v>#REF!</v>
      </c>
    </row>
    <row r="13" customFormat="false" ht="13.5" hidden="false" customHeight="false" outlineLevel="0" collapsed="false">
      <c r="B13" s="179"/>
      <c r="C13" s="179"/>
      <c r="D13" s="171" t="n">
        <v>1200</v>
      </c>
      <c r="E13" s="172" t="n">
        <v>56.5665209993664</v>
      </c>
      <c r="F13" s="172" t="n">
        <v>3.4957034024787</v>
      </c>
      <c r="G13" s="172" t="n">
        <v>31311.4660546125</v>
      </c>
      <c r="H13" s="172" t="n">
        <v>280.664278652588</v>
      </c>
      <c r="I13" s="173" t="e">
        <f aca="false">(#REF!+#REF!+#REF!+#REF!+#REF!)/(#REF!+#REF!+#REF!+#REF!+#REF!+#REF!+#REF!)</f>
        <v>#REF!</v>
      </c>
    </row>
    <row r="14" customFormat="false" ht="12.75" hidden="false" customHeight="true" outlineLevel="0" collapsed="false">
      <c r="B14" s="154" t="s">
        <v>65</v>
      </c>
      <c r="C14" s="154"/>
      <c r="D14" s="181" t="n">
        <v>1100</v>
      </c>
      <c r="E14" s="175" t="n">
        <v>55.1589469331066</v>
      </c>
      <c r="F14" s="175" t="n">
        <v>3.95687563761058</v>
      </c>
      <c r="G14" s="175" t="n">
        <v>90547.3276984879</v>
      </c>
      <c r="H14" s="175" t="n">
        <v>275.094467765082</v>
      </c>
      <c r="I14" s="167" t="e">
        <f aca="false">(#REF!+#REF!+#REF!+#REF!+#REF!)/(#REF!+#REF!+#REF!+#REF!+#REF!+#REF!+#REF!)</f>
        <v>#REF!</v>
      </c>
    </row>
    <row r="15" customFormat="false" ht="12.75" hidden="false" customHeight="false" outlineLevel="0" collapsed="false">
      <c r="B15" s="154"/>
      <c r="C15" s="154"/>
      <c r="D15" s="182" t="n">
        <v>1150</v>
      </c>
      <c r="E15" s="169" t="n">
        <v>55.110536324186</v>
      </c>
      <c r="F15" s="169" t="n">
        <v>3.72826579073766</v>
      </c>
      <c r="G15" s="169" t="n">
        <v>53489.1616011517</v>
      </c>
      <c r="H15" s="169" t="n">
        <v>277.089713601952</v>
      </c>
      <c r="I15" s="170" t="e">
        <f aca="false">(#REF!+#REF!+#REF!+#REF!+#REF!)/(#REF!+#REF!+#REF!+#REF!+#REF!+#REF!+#REF!)</f>
        <v>#REF!</v>
      </c>
    </row>
    <row r="16" customFormat="false" ht="13.5" hidden="false" customHeight="false" outlineLevel="0" collapsed="false">
      <c r="B16" s="154"/>
      <c r="C16" s="154"/>
      <c r="D16" s="183" t="n">
        <v>1200</v>
      </c>
      <c r="E16" s="177" t="n">
        <v>54.9125481699805</v>
      </c>
      <c r="F16" s="177" t="n">
        <v>3.51802704308385</v>
      </c>
      <c r="G16" s="177" t="n">
        <v>32963.0237284233</v>
      </c>
      <c r="H16" s="177" t="n">
        <v>279.448231106459</v>
      </c>
      <c r="I16" s="178" t="e">
        <f aca="false">(#REF!+#REF!+#REF!+#REF!+#REF!)/(#REF!+#REF!+#REF!+#REF!+#REF!+#REF!+#REF!)</f>
        <v>#REF!</v>
      </c>
    </row>
    <row r="17" customFormat="false" ht="12.75" hidden="false" customHeight="true" outlineLevel="0" collapsed="false">
      <c r="B17" s="154" t="s">
        <v>66</v>
      </c>
      <c r="C17" s="154"/>
      <c r="D17" s="181" t="n">
        <v>1100</v>
      </c>
      <c r="E17" s="175" t="n">
        <v>52.4715421955913</v>
      </c>
      <c r="F17" s="175" t="n">
        <v>3.95619836867657</v>
      </c>
      <c r="G17" s="175" t="n">
        <v>90406.231961924</v>
      </c>
      <c r="H17" s="175" t="n">
        <v>277.357058868043</v>
      </c>
      <c r="I17" s="167" t="e">
        <f aca="false">(#REF!+#REF!+#REF!+#REF!+#REF!)/(#REF!+#REF!+#REF!+#REF!+#REF!+#REF!+#REF!)</f>
        <v>#REF!</v>
      </c>
    </row>
    <row r="18" customFormat="false" ht="12.75" hidden="false" customHeight="false" outlineLevel="0" collapsed="false">
      <c r="B18" s="154"/>
      <c r="C18" s="154"/>
      <c r="D18" s="182" t="n">
        <v>1150</v>
      </c>
      <c r="E18" s="169" t="n">
        <v>50.6115641226848</v>
      </c>
      <c r="F18" s="169" t="n">
        <v>3.7557922333135</v>
      </c>
      <c r="G18" s="169" t="n">
        <v>56989.157065747</v>
      </c>
      <c r="H18" s="169" t="n">
        <v>278.137362884952</v>
      </c>
      <c r="I18" s="170" t="e">
        <f aca="false">(#REF!+#REF!+#REF!+#REF!+#REF!)/(#REF!+#REF!+#REF!+#REF!+#REF!+#REF!+#REF!)</f>
        <v>#REF!</v>
      </c>
    </row>
    <row r="19" customFormat="false" ht="13.5" hidden="false" customHeight="false" outlineLevel="0" collapsed="false">
      <c r="B19" s="154"/>
      <c r="C19" s="154"/>
      <c r="D19" s="183" t="n">
        <v>1200</v>
      </c>
      <c r="E19" s="177" t="n">
        <v>48.7459262701772</v>
      </c>
      <c r="F19" s="177" t="n">
        <v>3.56913047445987</v>
      </c>
      <c r="G19" s="177" t="n">
        <v>37079.2101582962</v>
      </c>
      <c r="H19" s="177" t="n">
        <v>279.073224992521</v>
      </c>
      <c r="I19" s="178" t="e">
        <f aca="false">(#REF!+#REF!+#REF!+#REF!+#REF!)/(#REF!+#REF!+#REF!+#REF!+#REF!+#REF!+#REF!)</f>
        <v>#REF!</v>
      </c>
    </row>
  </sheetData>
  <mergeCells count="12">
    <mergeCell ref="B3:C4"/>
    <mergeCell ref="D3:D4"/>
    <mergeCell ref="E3:E4"/>
    <mergeCell ref="F3:F4"/>
    <mergeCell ref="G3:G4"/>
    <mergeCell ref="H3:H4"/>
    <mergeCell ref="I3:I4"/>
    <mergeCell ref="B5:C7"/>
    <mergeCell ref="B8:C10"/>
    <mergeCell ref="B11:C13"/>
    <mergeCell ref="B14:C16"/>
    <mergeCell ref="B17:C1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1" sqref="E2:Y2 M7"/>
    </sheetView>
  </sheetViews>
  <sheetFormatPr defaultRowHeight="12.75"/>
  <cols>
    <col collapsed="false" hidden="false" max="1" min="1" style="0" width="9.85204081632653"/>
    <col collapsed="false" hidden="false" max="8" min="2" style="0" width="8.6734693877551"/>
    <col collapsed="false" hidden="false" max="9" min="9" style="0" width="10.2857142857143"/>
    <col collapsed="false" hidden="false" max="1025" min="10" style="0" width="8.6734693877551"/>
  </cols>
  <sheetData>
    <row r="3" customFormat="false" ht="12.75" hidden="false" customHeight="false" outlineLevel="0" collapsed="false">
      <c r="B3" s="184" t="s">
        <v>67</v>
      </c>
      <c r="C3" s="184"/>
      <c r="D3" s="184" t="s">
        <v>68</v>
      </c>
      <c r="E3" s="184"/>
      <c r="F3" s="184"/>
      <c r="G3" s="184" t="s">
        <v>67</v>
      </c>
      <c r="H3" s="184"/>
      <c r="I3" s="184" t="s">
        <v>68</v>
      </c>
      <c r="J3" s="184"/>
      <c r="K3" s="184"/>
    </row>
    <row r="4" customFormat="false" ht="12.75" hidden="false" customHeight="false" outlineLevel="0" collapsed="false">
      <c r="B4" s="0" t="s">
        <v>69</v>
      </c>
      <c r="C4" s="0" t="s">
        <v>70</v>
      </c>
      <c r="D4" s="0" t="s">
        <v>69</v>
      </c>
      <c r="E4" s="0" t="s">
        <v>70</v>
      </c>
      <c r="L4" s="0" t="s">
        <v>71</v>
      </c>
      <c r="M4" s="0" t="s">
        <v>72</v>
      </c>
    </row>
    <row r="5" customFormat="false" ht="12.75" hidden="false" customHeight="false" outlineLevel="0" collapsed="false">
      <c r="A5" s="0" t="s">
        <v>73</v>
      </c>
      <c r="B5" s="0" t="n">
        <v>1750</v>
      </c>
      <c r="C5" s="0" t="n">
        <v>1652</v>
      </c>
      <c r="D5" s="0" t="n">
        <v>1148</v>
      </c>
      <c r="E5" s="0" t="n">
        <v>1063</v>
      </c>
      <c r="G5" s="185" t="n">
        <f aca="false">B5*L5+C5*M5</f>
        <v>1734.32</v>
      </c>
      <c r="H5" s="185"/>
      <c r="I5" s="185" t="n">
        <f aca="false">D5*L5+E5*M5</f>
        <v>1134.4</v>
      </c>
      <c r="L5" s="147" t="n">
        <v>0.84</v>
      </c>
      <c r="M5" s="186" t="n">
        <v>0.16</v>
      </c>
    </row>
    <row r="6" customFormat="false" ht="12.75" hidden="false" customHeight="false" outlineLevel="0" collapsed="false">
      <c r="A6" s="0" t="s">
        <v>74</v>
      </c>
      <c r="B6" s="0" t="n">
        <v>1642</v>
      </c>
      <c r="C6" s="0" t="n">
        <v>1606</v>
      </c>
      <c r="D6" s="0" t="n">
        <v>985</v>
      </c>
      <c r="E6" s="0" t="n">
        <v>1063</v>
      </c>
      <c r="G6" s="185" t="n">
        <f aca="false">B6*L6+C6*M6</f>
        <v>1624</v>
      </c>
      <c r="I6" s="185" t="n">
        <f aca="false">D6*L6+E6*M6</f>
        <v>1024</v>
      </c>
      <c r="L6" s="147" t="n">
        <v>0.5</v>
      </c>
      <c r="M6" s="186" t="n">
        <v>0.5</v>
      </c>
    </row>
    <row r="7" customFormat="false" ht="12.8" hidden="false" customHeight="false" outlineLevel="0" collapsed="false">
      <c r="G7" s="0" t="s">
        <v>75</v>
      </c>
      <c r="I7" s="0" t="s">
        <v>76</v>
      </c>
      <c r="L7" s="147"/>
      <c r="M7" s="186"/>
    </row>
  </sheetData>
  <mergeCells count="4">
    <mergeCell ref="B3:C3"/>
    <mergeCell ref="D3:F3"/>
    <mergeCell ref="G3:H3"/>
    <mergeCell ref="I3:K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E2:Y2 C6"/>
    </sheetView>
  </sheetViews>
  <sheetFormatPr defaultRowHeight="12.75"/>
  <cols>
    <col collapsed="false" hidden="false" max="1" min="1" style="0" width="8.6734693877551"/>
    <col collapsed="false" hidden="false" max="2" min="2" style="0" width="11.9948979591837"/>
    <col collapsed="false" hidden="false" max="5" min="3" style="0" width="8.6734693877551"/>
    <col collapsed="false" hidden="false" max="6" min="6" style="0" width="11.1428571428571"/>
    <col collapsed="false" hidden="false" max="1025" min="7" style="0" width="8.6734693877551"/>
  </cols>
  <sheetData>
    <row r="4" customFormat="false" ht="12.75" hidden="false" customHeight="false" outlineLevel="0" collapsed="false">
      <c r="B4" s="187" t="s">
        <v>77</v>
      </c>
      <c r="C4" s="188" t="s">
        <v>43</v>
      </c>
      <c r="D4" s="188" t="s">
        <v>78</v>
      </c>
      <c r="E4" s="188" t="s">
        <v>70</v>
      </c>
      <c r="F4" s="188" t="s">
        <v>30</v>
      </c>
    </row>
    <row r="5" customFormat="false" ht="15.75" hidden="false" customHeight="false" outlineLevel="0" collapsed="false">
      <c r="B5" s="188" t="s">
        <v>49</v>
      </c>
      <c r="C5" s="187" t="n">
        <v>0.59034</v>
      </c>
      <c r="D5" s="187" t="n">
        <v>0</v>
      </c>
      <c r="E5" s="187" t="n">
        <v>0</v>
      </c>
      <c r="F5" s="187" t="n">
        <v>0.40966</v>
      </c>
    </row>
    <row r="6" customFormat="false" ht="12.75" hidden="false" customHeight="false" outlineLevel="0" collapsed="false">
      <c r="B6" s="188" t="s">
        <v>43</v>
      </c>
      <c r="C6" s="187" t="n">
        <v>1</v>
      </c>
      <c r="D6" s="187" t="n">
        <v>0</v>
      </c>
      <c r="E6" s="187" t="n">
        <v>0</v>
      </c>
      <c r="F6" s="187" t="n">
        <v>0</v>
      </c>
    </row>
    <row r="7" customFormat="false" ht="15.75" hidden="false" customHeight="false" outlineLevel="0" collapsed="false">
      <c r="B7" s="188" t="s">
        <v>79</v>
      </c>
      <c r="C7" s="187" t="n">
        <v>0.12349</v>
      </c>
      <c r="D7" s="187" t="n">
        <v>0</v>
      </c>
      <c r="E7" s="187" t="n">
        <v>0.10522</v>
      </c>
      <c r="F7" s="187" t="n">
        <v>0.77128</v>
      </c>
    </row>
    <row r="8" customFormat="false" ht="15.75" hidden="false" customHeight="false" outlineLevel="0" collapsed="false">
      <c r="B8" s="188" t="s">
        <v>47</v>
      </c>
      <c r="C8" s="187" t="n">
        <v>0.11501</v>
      </c>
      <c r="D8" s="187" t="n">
        <v>0.16666</v>
      </c>
      <c r="E8" s="187" t="n">
        <v>0</v>
      </c>
      <c r="F8" s="187" t="n">
        <v>0.71832</v>
      </c>
    </row>
    <row r="9" customFormat="false" ht="12.75" hidden="false" customHeight="false" outlineLevel="0" collapsed="false">
      <c r="B9" s="188" t="s">
        <v>30</v>
      </c>
      <c r="C9" s="187" t="n">
        <v>0</v>
      </c>
      <c r="D9" s="187" t="n">
        <v>0</v>
      </c>
      <c r="E9" s="187" t="n">
        <v>0</v>
      </c>
      <c r="F9" s="187" t="n">
        <v>1</v>
      </c>
    </row>
    <row r="12" customFormat="false" ht="12.75" hidden="false" customHeight="false" outlineLevel="0" collapsed="false">
      <c r="B12" s="189" t="s">
        <v>80</v>
      </c>
      <c r="F12" s="0" t="s">
        <v>81</v>
      </c>
    </row>
    <row r="13" customFormat="false" ht="12.75" hidden="false" customHeight="false" outlineLevel="0" collapsed="false">
      <c r="B13" s="189" t="s">
        <v>82</v>
      </c>
      <c r="C13" s="0" t="n">
        <f aca="false">(C6-C5)^2+(D6-D5)^2+(F6-F5)^2+(E6-E5)^2+(C6-C5)*(D6-D5)+(C6-C5)*(E6-E5)+(C6-C5)*(F6-F5)+(D6-D5)*(E6-E5)+(D6-D5)*(F6-F5)+(E6-E5)*(F6-F5)</f>
        <v>0.1678213156</v>
      </c>
      <c r="F13" s="189" t="s">
        <v>83</v>
      </c>
      <c r="G13" s="0" t="n">
        <f aca="false">(C7-C5)^2+(E7-E5)^2+(F7-F5)^2+(C7-C5)*(E7-E5)+(C7-C5)*(F7-F5)+(E7-E5)*(F7-F5)</f>
        <v>0.1798945977</v>
      </c>
    </row>
    <row r="14" customFormat="false" ht="12.75" hidden="false" customHeight="false" outlineLevel="0" collapsed="false">
      <c r="B14" s="189" t="s">
        <v>84</v>
      </c>
      <c r="C14" s="0" t="n">
        <f aca="false">(C7-C6)^2+(D7-D6)^2+(F7-F6)^2+(E7-E6)^2+(C7-C6)*(D7-D6)+(C7-C6)*(E7-E6)+(C7-C6)*(F7-F6)+(D7-D6)*(E7-E6)+(D7-D6)*(F7-F6)+(E7-E6)*(F7-F6)</f>
        <v>0.6871069335</v>
      </c>
      <c r="F14" s="189" t="s">
        <v>85</v>
      </c>
      <c r="G14" s="0" t="n">
        <f aca="false">(C8-C7)^2+(D8-D7)^2+(E8-E7)^2+(F8-F7)^2+(C8-C7)*(D8-D7)+(C8-C7)*(E8-E7)+(C8-C7)*(F8-F7)+(D8-D7)*(E8-E7)+(D8-D7)*(F8-F7)+(E8-E7)*(F8-F7)</f>
        <v>0.020861738</v>
      </c>
    </row>
    <row r="15" customFormat="false" ht="12.75" hidden="false" customHeight="false" outlineLevel="0" collapsed="false">
      <c r="B15" s="189" t="s">
        <v>85</v>
      </c>
      <c r="C15" s="0" t="n">
        <f aca="false">(C8-C7)^2+(D8-D7)^2+(F8-F7)^2+(E8-E7)^2+(C8-C7)*(D8-D7)+(C8-C7)*(E8-E7)+(C8-C7)*(F8-F7)+(D8-D7)*(E8-E7)+(D8-D7)*(F8-F7)+(E8-E7)*(F8-F7)</f>
        <v>0.020861738</v>
      </c>
      <c r="F15" s="189" t="s">
        <v>86</v>
      </c>
      <c r="G15" s="0" t="n">
        <f aca="false">(C9-C8)^2+(D9-D8)^2+(E9-E8)^2+(F9-F8)^2+(C9-C8)*(D9-D8)+(C9-C8)*(E9-E8)+(C9-C8)*(F9-F8)+(D9-D8)*(E9-E8)+(D9-D8)*(F9-F8)+(E9-E8)*(F9-F8)</f>
        <v>0.0601732391</v>
      </c>
    </row>
    <row r="16" customFormat="false" ht="12.75" hidden="false" customHeight="false" outlineLevel="0" collapsed="false">
      <c r="B16" s="189" t="s">
        <v>87</v>
      </c>
      <c r="C16" s="0" t="n">
        <f aca="false">(C8-C5)^2+(D8-D5)^2+(E8-E5)^2+(F8-F5)^2+(C8-C5)*(D8-D5)+(C8-C5)*(E8-E5)+(C8-C5)*(F8-F5)+(D8-D5)*(E8-E5)+(D8-D5)*(F8-F5)+(E8-E5)*(F8-F5)</f>
        <v>0.1744925801</v>
      </c>
      <c r="F16" s="189" t="s">
        <v>88</v>
      </c>
      <c r="G16" s="0" t="n">
        <f aca="false">(C9-C5)^2+(F9-F5)^2+(C9-C5)*(F9-F5)</f>
        <v>0.3485013156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V49"/>
  <sheetViews>
    <sheetView windowProtection="false" showFormulas="false" showGridLines="true" showRowColHeaders="true" showZeros="true" rightToLeft="false" tabSelected="false" showOutlineSymbols="true" defaultGridColor="true" view="normal" topLeftCell="P31" colorId="64" zoomScale="75" zoomScaleNormal="75" zoomScalePageLayoutView="100" workbookViewId="0">
      <selection pane="topLeft" activeCell="Y33" activeCellId="1" sqref="E2:Y2 Y33"/>
    </sheetView>
  </sheetViews>
  <sheetFormatPr defaultRowHeight="12.75"/>
  <cols>
    <col collapsed="false" hidden="false" max="1025" min="1" style="0" width="8.6734693877551"/>
  </cols>
  <sheetData>
    <row r="2" customFormat="false" ht="15.75" hidden="false" customHeight="false" outlineLevel="0" collapsed="false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customFormat="false" ht="13.5" hidden="false" customHeight="false" outlineLevel="0" collapsed="false"/>
    <row r="5" customFormat="false" ht="12.75" hidden="false" customHeight="true" outlineLevel="0" collapsed="false">
      <c r="A5" s="190" t="s">
        <v>1</v>
      </c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 t="s">
        <v>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91" t="s">
        <v>4</v>
      </c>
      <c r="AE5" s="191"/>
      <c r="AF5" s="191"/>
      <c r="AG5" s="191"/>
      <c r="AH5" s="7" t="s">
        <v>5</v>
      </c>
      <c r="AI5" s="7"/>
      <c r="AJ5" s="7"/>
      <c r="AK5" s="7"/>
      <c r="AL5" s="192" t="s">
        <v>6</v>
      </c>
      <c r="AM5" s="192"/>
      <c r="AN5" s="192"/>
      <c r="AO5" s="192"/>
      <c r="AP5" s="192"/>
      <c r="AQ5" s="192"/>
      <c r="AR5" s="192"/>
      <c r="AS5" s="192"/>
      <c r="AT5" s="192"/>
      <c r="AU5" s="192"/>
      <c r="AV5" s="192"/>
    </row>
    <row r="6" customFormat="false" ht="13.5" hidden="false" customHeight="false" outlineLevel="0" collapsed="false">
      <c r="A6" s="19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91"/>
      <c r="AE6" s="191"/>
      <c r="AF6" s="191"/>
      <c r="AG6" s="191"/>
      <c r="AH6" s="7"/>
      <c r="AI6" s="7"/>
      <c r="AJ6" s="7"/>
      <c r="AK6" s="7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</row>
    <row r="7" customFormat="false" ht="12.75" hidden="false" customHeight="true" outlineLevel="0" collapsed="false">
      <c r="A7" s="190"/>
      <c r="B7" s="193" t="s">
        <v>18</v>
      </c>
      <c r="C7" s="194" t="s">
        <v>19</v>
      </c>
      <c r="D7" s="194" t="s">
        <v>20</v>
      </c>
      <c r="E7" s="30" t="s">
        <v>21</v>
      </c>
      <c r="F7" s="195" t="s">
        <v>22</v>
      </c>
      <c r="G7" s="195"/>
      <c r="H7" s="195"/>
      <c r="I7" s="196" t="s">
        <v>23</v>
      </c>
      <c r="J7" s="197" t="s">
        <v>24</v>
      </c>
      <c r="K7" s="197"/>
      <c r="L7" s="197"/>
      <c r="M7" s="196" t="s">
        <v>25</v>
      </c>
      <c r="N7" s="196"/>
      <c r="O7" s="196"/>
      <c r="P7" s="194" t="s">
        <v>26</v>
      </c>
      <c r="Q7" s="30" t="s">
        <v>21</v>
      </c>
      <c r="R7" s="3" t="s">
        <v>22</v>
      </c>
      <c r="S7" s="3"/>
      <c r="T7" s="3"/>
      <c r="U7" s="3"/>
      <c r="V7" s="20" t="s">
        <v>23</v>
      </c>
      <c r="W7" s="20" t="s">
        <v>24</v>
      </c>
      <c r="X7" s="20"/>
      <c r="Y7" s="20"/>
      <c r="Z7" s="20"/>
      <c r="AA7" s="20" t="s">
        <v>25</v>
      </c>
      <c r="AB7" s="20"/>
      <c r="AC7" s="20"/>
      <c r="AD7" s="191"/>
      <c r="AE7" s="191"/>
      <c r="AF7" s="191"/>
      <c r="AG7" s="191"/>
      <c r="AH7" s="7"/>
      <c r="AI7" s="7"/>
      <c r="AJ7" s="7"/>
      <c r="AK7" s="7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</row>
    <row r="8" customFormat="false" ht="13.5" hidden="false" customHeight="false" outlineLevel="0" collapsed="false">
      <c r="A8" s="190"/>
      <c r="B8" s="193"/>
      <c r="C8" s="194"/>
      <c r="D8" s="194"/>
      <c r="E8" s="30"/>
      <c r="F8" s="195"/>
      <c r="G8" s="195"/>
      <c r="H8" s="195"/>
      <c r="I8" s="196"/>
      <c r="J8" s="197"/>
      <c r="K8" s="197"/>
      <c r="L8" s="197"/>
      <c r="M8" s="196"/>
      <c r="N8" s="196"/>
      <c r="O8" s="196"/>
      <c r="P8" s="194"/>
      <c r="Q8" s="30"/>
      <c r="R8" s="3"/>
      <c r="S8" s="3"/>
      <c r="T8" s="3"/>
      <c r="U8" s="3"/>
      <c r="V8" s="20"/>
      <c r="W8" s="20"/>
      <c r="X8" s="20"/>
      <c r="Y8" s="20"/>
      <c r="Z8" s="20"/>
      <c r="AA8" s="20"/>
      <c r="AB8" s="20"/>
      <c r="AC8" s="20"/>
      <c r="AD8" s="191"/>
      <c r="AE8" s="191"/>
      <c r="AF8" s="191"/>
      <c r="AG8" s="191"/>
      <c r="AH8" s="7"/>
      <c r="AI8" s="7"/>
      <c r="AJ8" s="7"/>
      <c r="AK8" s="7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</row>
    <row r="9" customFormat="false" ht="15" hidden="false" customHeight="false" outlineLevel="0" collapsed="false">
      <c r="A9" s="190"/>
      <c r="B9" s="193"/>
      <c r="C9" s="194"/>
      <c r="D9" s="194"/>
      <c r="E9" s="30"/>
      <c r="F9" s="198" t="s">
        <v>89</v>
      </c>
      <c r="G9" s="198" t="s">
        <v>30</v>
      </c>
      <c r="H9" s="199" t="s">
        <v>31</v>
      </c>
      <c r="I9" s="196"/>
      <c r="J9" s="200" t="s">
        <v>89</v>
      </c>
      <c r="K9" s="201" t="s">
        <v>30</v>
      </c>
      <c r="L9" s="202" t="s">
        <v>31</v>
      </c>
      <c r="M9" s="203" t="s">
        <v>9</v>
      </c>
      <c r="N9" s="200" t="s">
        <v>8</v>
      </c>
      <c r="O9" s="200" t="s">
        <v>7</v>
      </c>
      <c r="P9" s="194"/>
      <c r="Q9" s="30"/>
      <c r="R9" s="30" t="s">
        <v>33</v>
      </c>
      <c r="S9" s="204" t="s">
        <v>32</v>
      </c>
      <c r="T9" s="204" t="s">
        <v>30</v>
      </c>
      <c r="U9" s="204" t="s">
        <v>31</v>
      </c>
      <c r="V9" s="20"/>
      <c r="W9" s="20" t="s">
        <v>33</v>
      </c>
      <c r="X9" s="205" t="s">
        <v>32</v>
      </c>
      <c r="Y9" s="206" t="s">
        <v>30</v>
      </c>
      <c r="Z9" s="20" t="s">
        <v>31</v>
      </c>
      <c r="AA9" s="19" t="s">
        <v>90</v>
      </c>
      <c r="AB9" s="205" t="s">
        <v>8</v>
      </c>
      <c r="AC9" s="205" t="s">
        <v>7</v>
      </c>
      <c r="AD9" s="207" t="s">
        <v>9</v>
      </c>
      <c r="AE9" s="207" t="s">
        <v>10</v>
      </c>
      <c r="AF9" s="207" t="s">
        <v>8</v>
      </c>
      <c r="AG9" s="207" t="s">
        <v>7</v>
      </c>
      <c r="AH9" s="208" t="s">
        <v>9</v>
      </c>
      <c r="AI9" s="208" t="s">
        <v>10</v>
      </c>
      <c r="AJ9" s="208" t="s">
        <v>8</v>
      </c>
      <c r="AK9" s="209" t="s">
        <v>7</v>
      </c>
      <c r="AL9" s="210" t="s">
        <v>9</v>
      </c>
      <c r="AM9" s="211" t="s">
        <v>10</v>
      </c>
      <c r="AN9" s="211" t="s">
        <v>8</v>
      </c>
      <c r="AO9" s="211" t="s">
        <v>7</v>
      </c>
      <c r="AP9" s="212" t="s">
        <v>11</v>
      </c>
      <c r="AQ9" s="213" t="s">
        <v>12</v>
      </c>
      <c r="AR9" s="214" t="s">
        <v>13</v>
      </c>
      <c r="AS9" s="213" t="s">
        <v>14</v>
      </c>
      <c r="AT9" s="215" t="s">
        <v>15</v>
      </c>
      <c r="AU9" s="215" t="s">
        <v>16</v>
      </c>
      <c r="AV9" s="216" t="s">
        <v>17</v>
      </c>
    </row>
    <row r="10" customFormat="false" ht="13.5" hidden="false" customHeight="true" outlineLevel="0" collapsed="false">
      <c r="A10" s="194" t="s">
        <v>91</v>
      </c>
      <c r="B10" s="62" t="n">
        <v>1100</v>
      </c>
      <c r="C10" s="62" t="n">
        <v>12.42</v>
      </c>
      <c r="D10" s="69" t="n">
        <v>0.32</v>
      </c>
      <c r="E10" s="64" t="n">
        <f aca="false">F10+G10+H10</f>
        <v>0</v>
      </c>
      <c r="F10" s="64" t="n">
        <v>0</v>
      </c>
      <c r="G10" s="64" t="n">
        <v>0</v>
      </c>
      <c r="H10" s="64" t="n">
        <v>0</v>
      </c>
      <c r="I10" s="217" t="n">
        <f aca="false">E10*D10</f>
        <v>0</v>
      </c>
      <c r="J10" s="217" t="n">
        <f aca="false">F10*D10</f>
        <v>0</v>
      </c>
      <c r="K10" s="217" t="n">
        <f aca="false">G10*D10</f>
        <v>0</v>
      </c>
      <c r="L10" s="217" t="n">
        <f aca="false">I10-J10-K10</f>
        <v>0</v>
      </c>
      <c r="M10" s="217" t="n">
        <f aca="false">J10*$G$29/100</f>
        <v>0</v>
      </c>
      <c r="N10" s="217" t="n">
        <f aca="false">J10*$H$29/100+L10*$H$31/1000</f>
        <v>0</v>
      </c>
      <c r="O10" s="217" t="n">
        <f aca="false">J10*$I$29/100+K10*$I$32/100+L10*$I$31/100</f>
        <v>0</v>
      </c>
      <c r="P10" s="63" t="n">
        <v>0.68</v>
      </c>
      <c r="Q10" s="64" t="n">
        <f aca="false">SUM(R10:U10)</f>
        <v>33</v>
      </c>
      <c r="R10" s="64" t="n">
        <v>0</v>
      </c>
      <c r="S10" s="64" t="n">
        <v>27</v>
      </c>
      <c r="T10" s="64" t="n">
        <v>0</v>
      </c>
      <c r="U10" s="218" t="n">
        <v>6</v>
      </c>
      <c r="V10" s="66" t="n">
        <f aca="false">Q10*P10</f>
        <v>22.44</v>
      </c>
      <c r="W10" s="66" t="n">
        <f aca="false">R10*P10</f>
        <v>0</v>
      </c>
      <c r="X10" s="66" t="n">
        <f aca="false">S10*P10</f>
        <v>18.36</v>
      </c>
      <c r="Y10" s="67" t="n">
        <f aca="false">T10*P10</f>
        <v>0</v>
      </c>
      <c r="Z10" s="66" t="n">
        <f aca="false">V10-W10-X10-Y10</f>
        <v>4.08</v>
      </c>
      <c r="AA10" s="66" t="n">
        <f aca="false">X10*$J$30/100+W10*$J$33/100</f>
        <v>3.10679124345633</v>
      </c>
      <c r="AB10" s="66" t="n">
        <f aca="false">X10*$H$30/100+Z10*$H$31/100+W10*$H$33/100</f>
        <v>6.29208453009852</v>
      </c>
      <c r="AC10" s="66" t="n">
        <f aca="false">X10*$I$30/100+Y10*$I$32/100+Z10*$I$31/100+W10*$I$33/100</f>
        <v>13.0411242264447</v>
      </c>
      <c r="AD10" s="219" t="n">
        <f aca="false">M10</f>
        <v>0</v>
      </c>
      <c r="AE10" s="219" t="n">
        <f aca="false">AA10</f>
        <v>3.10679124345633</v>
      </c>
      <c r="AF10" s="219" t="n">
        <f aca="false">SUM(N10,AB10)</f>
        <v>6.29208453009852</v>
      </c>
      <c r="AG10" s="219" t="n">
        <f aca="false">SUM(O10,AC10)</f>
        <v>13.0411242264447</v>
      </c>
      <c r="AH10" s="69" t="n">
        <v>3.95</v>
      </c>
      <c r="AI10" s="69" t="n">
        <v>8.26</v>
      </c>
      <c r="AJ10" s="69" t="n">
        <v>18.13</v>
      </c>
      <c r="AK10" s="70" t="n">
        <v>67.99</v>
      </c>
      <c r="AL10" s="220" t="n">
        <f aca="false">AH10-AD10</f>
        <v>3.95</v>
      </c>
      <c r="AM10" s="221" t="n">
        <f aca="false">AI10-AE10</f>
        <v>5.15320875654367</v>
      </c>
      <c r="AN10" s="221" t="n">
        <f aca="false">AJ10-AF10</f>
        <v>11.8379154699015</v>
      </c>
      <c r="AO10" s="222" t="n">
        <f aca="false">AK10-AG10</f>
        <v>54.9488757735553</v>
      </c>
      <c r="AP10" s="223" t="n">
        <v>0.04</v>
      </c>
      <c r="AQ10" s="223" t="n">
        <v>0.1</v>
      </c>
      <c r="AR10" s="223" t="n">
        <v>0.01</v>
      </c>
      <c r="AS10" s="223" t="n">
        <v>0.21</v>
      </c>
      <c r="AT10" s="223" t="n">
        <v>0.64</v>
      </c>
      <c r="AU10" s="223" t="n">
        <v>0.15</v>
      </c>
      <c r="AV10" s="224" t="n">
        <f aca="false">SUM(AL10:AU10)</f>
        <v>77.0400000000004</v>
      </c>
    </row>
    <row r="11" customFormat="false" ht="13.5" hidden="false" customHeight="false" outlineLevel="0" collapsed="false">
      <c r="A11" s="194"/>
      <c r="B11" s="62" t="n">
        <v>1150</v>
      </c>
      <c r="C11" s="62" t="n">
        <v>12.42</v>
      </c>
      <c r="D11" s="69" t="n">
        <v>0.32</v>
      </c>
      <c r="E11" s="64" t="n">
        <f aca="false">F11+G11+H11</f>
        <v>0</v>
      </c>
      <c r="F11" s="64" t="n">
        <v>0</v>
      </c>
      <c r="G11" s="64" t="n">
        <v>0</v>
      </c>
      <c r="H11" s="64" t="n">
        <v>0</v>
      </c>
      <c r="I11" s="217" t="n">
        <f aca="false">E11*D11</f>
        <v>0</v>
      </c>
      <c r="J11" s="217" t="n">
        <f aca="false">F11*D11</f>
        <v>0</v>
      </c>
      <c r="K11" s="217" t="n">
        <f aca="false">G11*D11</f>
        <v>0</v>
      </c>
      <c r="L11" s="217" t="n">
        <f aca="false">I11-J11-K11</f>
        <v>0</v>
      </c>
      <c r="M11" s="217" t="n">
        <f aca="false">J11*$G$29/100</f>
        <v>0</v>
      </c>
      <c r="N11" s="217" t="n">
        <f aca="false">J11*$H$29/100+L11*$H$31/1000</f>
        <v>0</v>
      </c>
      <c r="O11" s="217" t="n">
        <f aca="false">J11*$I$29/100+K11*$I$32/100+L11*$I$31/100</f>
        <v>0</v>
      </c>
      <c r="P11" s="63" t="n">
        <v>0.68</v>
      </c>
      <c r="Q11" s="64" t="n">
        <f aca="false">SUM(R11:U11)</f>
        <v>14</v>
      </c>
      <c r="R11" s="64" t="n">
        <v>8.5</v>
      </c>
      <c r="S11" s="64" t="n">
        <v>0</v>
      </c>
      <c r="T11" s="64" t="n">
        <v>0</v>
      </c>
      <c r="U11" s="218" t="n">
        <v>5.5</v>
      </c>
      <c r="V11" s="66" t="n">
        <f aca="false">Q11*P11</f>
        <v>9.52</v>
      </c>
      <c r="W11" s="66" t="n">
        <f aca="false">R11*P11</f>
        <v>5.78</v>
      </c>
      <c r="X11" s="66" t="n">
        <f aca="false">S11*P11</f>
        <v>0</v>
      </c>
      <c r="Y11" s="67" t="n">
        <f aca="false">T11*P11</f>
        <v>0</v>
      </c>
      <c r="Z11" s="66" t="n">
        <f aca="false">V11-W11-X11-Y11</f>
        <v>3.74</v>
      </c>
      <c r="AA11" s="66" t="n">
        <f aca="false">X11*$J$30/100+W11*$J$33/100</f>
        <v>1.24733006483534</v>
      </c>
      <c r="AB11" s="66" t="n">
        <f aca="false">X11*$H$30/100+Z11*$H$31/100+W11*$H$33/100</f>
        <v>4.03525631765514</v>
      </c>
      <c r="AC11" s="66" t="n">
        <f aca="false">X11*$I$30/100+Y11*$I$32/100+Z11*$I$31/100+W11*$I$33/100</f>
        <v>4.23741361750938</v>
      </c>
      <c r="AD11" s="219" t="n">
        <f aca="false">M11</f>
        <v>0</v>
      </c>
      <c r="AE11" s="219" t="n">
        <f aca="false">AA11</f>
        <v>1.24733006483534</v>
      </c>
      <c r="AF11" s="219" t="n">
        <f aca="false">SUM(N11,AB11)</f>
        <v>4.03525631765514</v>
      </c>
      <c r="AG11" s="219" t="n">
        <f aca="false">SUM(O11,AC11)</f>
        <v>4.23741361750938</v>
      </c>
      <c r="AH11" s="69" t="n">
        <v>3.95</v>
      </c>
      <c r="AI11" s="69" t="n">
        <v>8.26</v>
      </c>
      <c r="AJ11" s="69" t="n">
        <v>18.13</v>
      </c>
      <c r="AK11" s="70" t="n">
        <v>67.99</v>
      </c>
      <c r="AL11" s="220" t="n">
        <f aca="false">AH11-AD11</f>
        <v>3.95</v>
      </c>
      <c r="AM11" s="221" t="n">
        <f aca="false">AI11-AE11</f>
        <v>7.01266993516466</v>
      </c>
      <c r="AN11" s="221" t="n">
        <f aca="false">AJ11-AF11</f>
        <v>14.0947436823449</v>
      </c>
      <c r="AO11" s="222" t="n">
        <f aca="false">AK11-AG11</f>
        <v>63.7525863824906</v>
      </c>
      <c r="AP11" s="223" t="n">
        <v>0.04</v>
      </c>
      <c r="AQ11" s="223" t="n">
        <v>0.1</v>
      </c>
      <c r="AR11" s="223" t="n">
        <v>0.01</v>
      </c>
      <c r="AS11" s="223" t="n">
        <v>0.21</v>
      </c>
      <c r="AT11" s="223" t="n">
        <v>0.64</v>
      </c>
      <c r="AU11" s="223" t="n">
        <v>0.15</v>
      </c>
      <c r="AV11" s="224" t="n">
        <f aca="false">SUM(AL11:AU11)</f>
        <v>89.9600000000001</v>
      </c>
    </row>
    <row r="12" customFormat="false" ht="13.5" hidden="false" customHeight="false" outlineLevel="0" collapsed="false">
      <c r="A12" s="194"/>
      <c r="B12" s="62" t="n">
        <v>1200</v>
      </c>
      <c r="C12" s="62" t="n">
        <v>12.42</v>
      </c>
      <c r="D12" s="69" t="n">
        <v>0.32</v>
      </c>
      <c r="E12" s="64" t="n">
        <f aca="false">F12+G12+H12</f>
        <v>0</v>
      </c>
      <c r="F12" s="64" t="n">
        <v>0</v>
      </c>
      <c r="G12" s="64" t="n">
        <v>0</v>
      </c>
      <c r="H12" s="64" t="n">
        <v>0</v>
      </c>
      <c r="I12" s="217" t="n">
        <f aca="false">E12*D12</f>
        <v>0</v>
      </c>
      <c r="J12" s="217" t="n">
        <f aca="false">F12*D12</f>
        <v>0</v>
      </c>
      <c r="K12" s="217" t="n">
        <f aca="false">G12*D12</f>
        <v>0</v>
      </c>
      <c r="L12" s="217" t="n">
        <f aca="false">I12-J12-K12</f>
        <v>0</v>
      </c>
      <c r="M12" s="217" t="n">
        <f aca="false">J12*$G$29/100</f>
        <v>0</v>
      </c>
      <c r="N12" s="217" t="n">
        <f aca="false">J12*$H$29/100+L12*$H$31/1000</f>
        <v>0</v>
      </c>
      <c r="O12" s="217" t="n">
        <f aca="false">J12*$I$29/100+K12*$I$32/100+L12*$I$31/100</f>
        <v>0</v>
      </c>
      <c r="P12" s="63" t="n">
        <v>0.68</v>
      </c>
      <c r="Q12" s="64" t="n">
        <f aca="false">SUM(R12:U12)</f>
        <v>6.7</v>
      </c>
      <c r="R12" s="64" t="n">
        <v>2</v>
      </c>
      <c r="S12" s="64" t="n">
        <v>0</v>
      </c>
      <c r="T12" s="64" t="n">
        <v>0</v>
      </c>
      <c r="U12" s="218" t="n">
        <v>4.7</v>
      </c>
      <c r="V12" s="66" t="n">
        <f aca="false">Q12*P12</f>
        <v>4.556</v>
      </c>
      <c r="W12" s="66" t="n">
        <f aca="false">R12*P12</f>
        <v>1.36</v>
      </c>
      <c r="X12" s="66" t="n">
        <f aca="false">S12*P12</f>
        <v>0</v>
      </c>
      <c r="Y12" s="67" t="n">
        <f aca="false">T12*P12</f>
        <v>0</v>
      </c>
      <c r="Z12" s="66" t="n">
        <f aca="false">V12-W12-X12-Y12</f>
        <v>3.196</v>
      </c>
      <c r="AA12" s="66" t="n">
        <f aca="false">X12*$J$30/100+W12*$J$33/100</f>
        <v>0.293489427020079</v>
      </c>
      <c r="AB12" s="66" t="n">
        <f aca="false">X12*$H$30/100+Z12*$H$31/100+W12*$H$33/100</f>
        <v>2.61223336052205</v>
      </c>
      <c r="AC12" s="66" t="n">
        <f aca="false">X12*$I$30/100+Y12*$I$32/100+Z12*$I$31/100+W12*$I$33/100</f>
        <v>1.65027721245781</v>
      </c>
      <c r="AD12" s="219" t="n">
        <f aca="false">M12</f>
        <v>0</v>
      </c>
      <c r="AE12" s="219" t="n">
        <f aca="false">AA12</f>
        <v>0.293489427020079</v>
      </c>
      <c r="AF12" s="219" t="n">
        <f aca="false">SUM(N12,AB12)</f>
        <v>2.61223336052205</v>
      </c>
      <c r="AG12" s="219" t="n">
        <f aca="false">SUM(O12,AC12)</f>
        <v>1.65027721245781</v>
      </c>
      <c r="AH12" s="69" t="n">
        <v>3.95</v>
      </c>
      <c r="AI12" s="69" t="n">
        <v>8.26</v>
      </c>
      <c r="AJ12" s="69" t="n">
        <v>18.13</v>
      </c>
      <c r="AK12" s="70" t="n">
        <v>67.99</v>
      </c>
      <c r="AL12" s="220" t="n">
        <f aca="false">AH12-AD12</f>
        <v>3.95</v>
      </c>
      <c r="AM12" s="221" t="n">
        <f aca="false">AI12-AE12</f>
        <v>7.96651057297992</v>
      </c>
      <c r="AN12" s="221" t="n">
        <f aca="false">AJ12-AF12</f>
        <v>15.517766639478</v>
      </c>
      <c r="AO12" s="222" t="n">
        <f aca="false">AK12-AG12</f>
        <v>66.3397227875422</v>
      </c>
      <c r="AP12" s="223" t="n">
        <v>0.04</v>
      </c>
      <c r="AQ12" s="223" t="n">
        <v>0.1</v>
      </c>
      <c r="AR12" s="223" t="n">
        <v>0.01</v>
      </c>
      <c r="AS12" s="223" t="n">
        <v>0.21</v>
      </c>
      <c r="AT12" s="223" t="n">
        <v>0.64</v>
      </c>
      <c r="AU12" s="223" t="n">
        <v>0.15</v>
      </c>
      <c r="AV12" s="224" t="n">
        <f aca="false">SUM(AL12:AU12)</f>
        <v>94.9240000000001</v>
      </c>
    </row>
    <row r="13" customFormat="false" ht="13.5" hidden="false" customHeight="true" outlineLevel="0" collapsed="false">
      <c r="A13" s="14" t="s">
        <v>92</v>
      </c>
      <c r="B13" s="62" t="n">
        <v>1100</v>
      </c>
      <c r="C13" s="62" t="n">
        <v>11.09</v>
      </c>
      <c r="D13" s="69" t="n">
        <v>0.38</v>
      </c>
      <c r="E13" s="64" t="n">
        <f aca="false">F13+G13+H13</f>
        <v>0</v>
      </c>
      <c r="F13" s="64" t="n">
        <v>0</v>
      </c>
      <c r="G13" s="64" t="n">
        <v>0</v>
      </c>
      <c r="H13" s="64" t="n">
        <v>0</v>
      </c>
      <c r="I13" s="217" t="n">
        <f aca="false">E13*D13</f>
        <v>0</v>
      </c>
      <c r="J13" s="217" t="n">
        <f aca="false">F13*D13</f>
        <v>0</v>
      </c>
      <c r="K13" s="217" t="n">
        <f aca="false">G13*D13</f>
        <v>0</v>
      </c>
      <c r="L13" s="217" t="n">
        <f aca="false">I13-J13-K13</f>
        <v>0</v>
      </c>
      <c r="M13" s="217" t="n">
        <f aca="false">J13*$G$29/100</f>
        <v>0</v>
      </c>
      <c r="N13" s="217" t="n">
        <f aca="false">J13*$H$29/100+L13*$H$31/1000</f>
        <v>0</v>
      </c>
      <c r="O13" s="217" t="n">
        <f aca="false">J13*$I$29/100+K13*$I$32/100+L13*$I$31/100</f>
        <v>0</v>
      </c>
      <c r="P13" s="63" t="n">
        <v>0.62</v>
      </c>
      <c r="Q13" s="64" t="n">
        <f aca="false">SUM(R13:U13)</f>
        <v>7.4</v>
      </c>
      <c r="R13" s="64" t="n">
        <v>0</v>
      </c>
      <c r="S13" s="64" t="n">
        <v>0.9</v>
      </c>
      <c r="T13" s="64" t="n">
        <v>0</v>
      </c>
      <c r="U13" s="218" t="n">
        <v>6.5</v>
      </c>
      <c r="V13" s="66" t="n">
        <f aca="false">Q13*P13</f>
        <v>4.588</v>
      </c>
      <c r="W13" s="66" t="n">
        <f aca="false">R13*P13</f>
        <v>0</v>
      </c>
      <c r="X13" s="66" t="n">
        <f aca="false">S13*P13</f>
        <v>0.558</v>
      </c>
      <c r="Y13" s="67" t="n">
        <f aca="false">T13*P13</f>
        <v>0</v>
      </c>
      <c r="Z13" s="66" t="n">
        <f aca="false">V13-W13-X13-Y13</f>
        <v>4.03</v>
      </c>
      <c r="AA13" s="66" t="n">
        <f aca="false">X13*$J$30/100+W13*$J$33/100</f>
        <v>0.0944220868109277</v>
      </c>
      <c r="AB13" s="66" t="n">
        <f aca="false">X13*$H$30/100+Z13*$H$31/100+W13*$H$33/100</f>
        <v>2.99552431288878</v>
      </c>
      <c r="AC13" s="66" t="n">
        <f aca="false">X13*$I$30/100+Y13*$I$32/100+Z13*$I$31/100+W13*$I$33/100</f>
        <v>1.49805360030024</v>
      </c>
      <c r="AD13" s="219" t="n">
        <f aca="false">M13</f>
        <v>0</v>
      </c>
      <c r="AE13" s="219" t="n">
        <f aca="false">AA13</f>
        <v>0.0944220868109277</v>
      </c>
      <c r="AF13" s="219" t="n">
        <f aca="false">SUM(N13,AB13)</f>
        <v>2.99552431288878</v>
      </c>
      <c r="AG13" s="219" t="n">
        <f aca="false">SUM(O13,AC13)</f>
        <v>1.49805360030024</v>
      </c>
      <c r="AH13" s="69" t="n">
        <v>4.11</v>
      </c>
      <c r="AI13" s="69" t="n">
        <v>6.79</v>
      </c>
      <c r="AJ13" s="69" t="n">
        <v>16.87</v>
      </c>
      <c r="AK13" s="70" t="n">
        <v>70.56</v>
      </c>
      <c r="AL13" s="220" t="n">
        <f aca="false">AH13-AD13</f>
        <v>4.11</v>
      </c>
      <c r="AM13" s="221" t="n">
        <f aca="false">AI13-AE13</f>
        <v>6.69557791318907</v>
      </c>
      <c r="AN13" s="221" t="n">
        <f aca="false">AJ13-AF13</f>
        <v>13.8744756871112</v>
      </c>
      <c r="AO13" s="222" t="n">
        <f aca="false">AK13-AG13</f>
        <v>69.0619463996998</v>
      </c>
      <c r="AP13" s="223" t="n">
        <v>0.04</v>
      </c>
      <c r="AQ13" s="223" t="n">
        <v>0.13</v>
      </c>
      <c r="AR13" s="223" t="n">
        <v>0.01</v>
      </c>
      <c r="AS13" s="223" t="n">
        <v>0.21</v>
      </c>
      <c r="AT13" s="223" t="n">
        <v>0.73</v>
      </c>
      <c r="AU13" s="223" t="n">
        <v>0.13</v>
      </c>
      <c r="AV13" s="224" t="n">
        <f aca="false">SUM(AL13:AU13)</f>
        <v>94.9920000000001</v>
      </c>
    </row>
    <row r="14" customFormat="false" ht="13.5" hidden="false" customHeight="false" outlineLevel="0" collapsed="false">
      <c r="A14" s="14"/>
      <c r="B14" s="62" t="n">
        <v>1150</v>
      </c>
      <c r="C14" s="62" t="n">
        <v>11.09</v>
      </c>
      <c r="D14" s="69" t="n">
        <v>0.38</v>
      </c>
      <c r="E14" s="64" t="n">
        <f aca="false">F14+G14+H14</f>
        <v>0</v>
      </c>
      <c r="F14" s="64" t="n">
        <v>0</v>
      </c>
      <c r="G14" s="64" t="n">
        <v>0</v>
      </c>
      <c r="H14" s="64" t="n">
        <v>0</v>
      </c>
      <c r="I14" s="217" t="n">
        <f aca="false">E14*D14</f>
        <v>0</v>
      </c>
      <c r="J14" s="217" t="n">
        <f aca="false">F14*D14</f>
        <v>0</v>
      </c>
      <c r="K14" s="217" t="n">
        <f aca="false">G14*D14</f>
        <v>0</v>
      </c>
      <c r="L14" s="217" t="n">
        <f aca="false">I14-J14-K14</f>
        <v>0</v>
      </c>
      <c r="M14" s="217" t="n">
        <f aca="false">J14*$G$29/100</f>
        <v>0</v>
      </c>
      <c r="N14" s="217" t="n">
        <f aca="false">J14*$H$29/100+L14*$H$31/1000</f>
        <v>0</v>
      </c>
      <c r="O14" s="217" t="n">
        <f aca="false">J14*$I$29/100+K14*$I$32/100+L14*$I$31/100</f>
        <v>0</v>
      </c>
      <c r="P14" s="63" t="n">
        <v>0.62</v>
      </c>
      <c r="Q14" s="64" t="n">
        <f aca="false">SUM(R14:U14)</f>
        <v>6.2</v>
      </c>
      <c r="R14" s="64" t="n">
        <v>0</v>
      </c>
      <c r="S14" s="64" t="n">
        <v>0</v>
      </c>
      <c r="T14" s="64" t="n">
        <v>0</v>
      </c>
      <c r="U14" s="218" t="n">
        <v>6.2</v>
      </c>
      <c r="V14" s="66" t="n">
        <f aca="false">Q14*P14</f>
        <v>3.844</v>
      </c>
      <c r="W14" s="66" t="n">
        <f aca="false">R14*P14</f>
        <v>0</v>
      </c>
      <c r="X14" s="66" t="n">
        <f aca="false">S14*P14</f>
        <v>0</v>
      </c>
      <c r="Y14" s="67" t="n">
        <f aca="false">T14*P14</f>
        <v>0</v>
      </c>
      <c r="Z14" s="66" t="n">
        <f aca="false">V14-W14-X14-Y14</f>
        <v>3.844</v>
      </c>
      <c r="AA14" s="66" t="n">
        <f aca="false">X14*$J$30/100+W14*$J$33/100</f>
        <v>0</v>
      </c>
      <c r="AB14" s="66" t="n">
        <f aca="false">X14*$H$30/100+Z14*$H$31/100+W14*$H$33/100</f>
        <v>2.75978168503326</v>
      </c>
      <c r="AC14" s="66" t="n">
        <f aca="false">X14*$I$30/100+Y14*$I$32/100+Z14*$I$31/100+W14*$I$33/100</f>
        <v>1.0842183149667</v>
      </c>
      <c r="AD14" s="219" t="n">
        <f aca="false">M14</f>
        <v>0</v>
      </c>
      <c r="AE14" s="219" t="n">
        <f aca="false">AA14</f>
        <v>0</v>
      </c>
      <c r="AF14" s="219" t="n">
        <f aca="false">SUM(N14,AB14)</f>
        <v>2.75978168503326</v>
      </c>
      <c r="AG14" s="219" t="n">
        <f aca="false">SUM(O14,AC14)</f>
        <v>1.0842183149667</v>
      </c>
      <c r="AH14" s="69" t="n">
        <v>4.11</v>
      </c>
      <c r="AI14" s="69" t="n">
        <v>6.79</v>
      </c>
      <c r="AJ14" s="69" t="n">
        <v>16.87</v>
      </c>
      <c r="AK14" s="70" t="n">
        <v>70.56</v>
      </c>
      <c r="AL14" s="220" t="n">
        <f aca="false">AH14-AD14</f>
        <v>4.11</v>
      </c>
      <c r="AM14" s="221" t="n">
        <f aca="false">AI14-AE14</f>
        <v>6.79</v>
      </c>
      <c r="AN14" s="221" t="n">
        <f aca="false">AJ14-AF14</f>
        <v>14.1102183149667</v>
      </c>
      <c r="AO14" s="222" t="n">
        <f aca="false">AK14-AG14</f>
        <v>69.4757816850333</v>
      </c>
      <c r="AP14" s="223" t="n">
        <v>0.04</v>
      </c>
      <c r="AQ14" s="223" t="n">
        <v>0.13</v>
      </c>
      <c r="AR14" s="223" t="n">
        <v>0.01</v>
      </c>
      <c r="AS14" s="223" t="n">
        <v>0.21</v>
      </c>
      <c r="AT14" s="223" t="n">
        <v>0.73</v>
      </c>
      <c r="AU14" s="223" t="n">
        <v>0.13</v>
      </c>
      <c r="AV14" s="224" t="n">
        <f aca="false">SUM(AL14:AU14)</f>
        <v>95.736</v>
      </c>
    </row>
    <row r="15" customFormat="false" ht="13.5" hidden="false" customHeight="false" outlineLevel="0" collapsed="false">
      <c r="A15" s="14"/>
      <c r="B15" s="37" t="n">
        <v>1200</v>
      </c>
      <c r="C15" s="37" t="n">
        <v>11.09</v>
      </c>
      <c r="D15" s="225" t="n">
        <v>0.38</v>
      </c>
      <c r="E15" s="226" t="n">
        <f aca="false">F15+G15+H15</f>
        <v>0</v>
      </c>
      <c r="F15" s="226" t="n">
        <v>0</v>
      </c>
      <c r="G15" s="226" t="n">
        <v>0</v>
      </c>
      <c r="H15" s="226" t="n">
        <v>0</v>
      </c>
      <c r="I15" s="227" t="n">
        <f aca="false">E15*D15</f>
        <v>0</v>
      </c>
      <c r="J15" s="227" t="n">
        <f aca="false">F15*D15</f>
        <v>0</v>
      </c>
      <c r="K15" s="227" t="n">
        <f aca="false">G15*D15</f>
        <v>0</v>
      </c>
      <c r="L15" s="227" t="n">
        <f aca="false">I15-J15-K15</f>
        <v>0</v>
      </c>
      <c r="M15" s="217" t="n">
        <f aca="false">J15*$G$29/100</f>
        <v>0</v>
      </c>
      <c r="N15" s="217" t="n">
        <f aca="false">J15*$H$29/100+L15*$H$31/1000</f>
        <v>0</v>
      </c>
      <c r="O15" s="217" t="n">
        <f aca="false">J15*$I$29/100+K15*$I$32/100+L15*$I$31/100</f>
        <v>0</v>
      </c>
      <c r="P15" s="63" t="n">
        <v>0.62</v>
      </c>
      <c r="Q15" s="64" t="n">
        <f aca="false">SUM(R15:U15)</f>
        <v>6</v>
      </c>
      <c r="R15" s="226" t="n">
        <v>0</v>
      </c>
      <c r="S15" s="226" t="n">
        <v>0</v>
      </c>
      <c r="T15" s="226" t="n">
        <v>0</v>
      </c>
      <c r="U15" s="228" t="n">
        <v>6</v>
      </c>
      <c r="V15" s="229" t="n">
        <f aca="false">Q15*P15</f>
        <v>3.72</v>
      </c>
      <c r="W15" s="66" t="n">
        <f aca="false">R15*P15</f>
        <v>0</v>
      </c>
      <c r="X15" s="66" t="n">
        <f aca="false">S15*P15</f>
        <v>0</v>
      </c>
      <c r="Y15" s="67" t="n">
        <f aca="false">T15*P15</f>
        <v>0</v>
      </c>
      <c r="Z15" s="66" t="n">
        <f aca="false">V15-W15-X15-Y15</f>
        <v>3.72</v>
      </c>
      <c r="AA15" s="66" t="n">
        <f aca="false">X15*$J$30/100+W15*$J$33/100</f>
        <v>0</v>
      </c>
      <c r="AB15" s="66" t="n">
        <f aca="false">X15*$H$30/100+Z15*$H$31/100+W15*$H$33/100</f>
        <v>2.67075646938702</v>
      </c>
      <c r="AC15" s="66" t="n">
        <f aca="false">X15*$I$30/100+Y15*$I$32/100+Z15*$I$31/100+W15*$I$33/100</f>
        <v>1.04924353061294</v>
      </c>
      <c r="AD15" s="219" t="n">
        <f aca="false">M15</f>
        <v>0</v>
      </c>
      <c r="AE15" s="219" t="n">
        <f aca="false">AA15</f>
        <v>0</v>
      </c>
      <c r="AF15" s="219" t="n">
        <f aca="false">SUM(N15,AB15)</f>
        <v>2.67075646938702</v>
      </c>
      <c r="AG15" s="219" t="n">
        <f aca="false">SUM(O15,AC15)</f>
        <v>1.04924353061294</v>
      </c>
      <c r="AH15" s="225" t="n">
        <v>4.11</v>
      </c>
      <c r="AI15" s="69" t="n">
        <v>6.79</v>
      </c>
      <c r="AJ15" s="69" t="n">
        <v>16.87</v>
      </c>
      <c r="AK15" s="70" t="n">
        <v>70.56</v>
      </c>
      <c r="AL15" s="220" t="n">
        <f aca="false">AH15-AD15</f>
        <v>4.11</v>
      </c>
      <c r="AM15" s="221" t="n">
        <f aca="false">AI15-AE15</f>
        <v>6.79</v>
      </c>
      <c r="AN15" s="221" t="n">
        <f aca="false">AJ15-AF15</f>
        <v>14.199243530613</v>
      </c>
      <c r="AO15" s="222" t="n">
        <f aca="false">AK15-AG15</f>
        <v>69.5107564693871</v>
      </c>
      <c r="AP15" s="223" t="n">
        <v>0.04</v>
      </c>
      <c r="AQ15" s="223" t="n">
        <v>0.13</v>
      </c>
      <c r="AR15" s="223" t="n">
        <v>0.01</v>
      </c>
      <c r="AS15" s="223" t="n">
        <v>0.21</v>
      </c>
      <c r="AT15" s="223" t="n">
        <v>0.73</v>
      </c>
      <c r="AU15" s="223" t="n">
        <v>0.13</v>
      </c>
      <c r="AV15" s="224" t="n">
        <f aca="false">SUM(AL15:AU15)</f>
        <v>95.86</v>
      </c>
    </row>
    <row r="16" customFormat="false" ht="13.5" hidden="false" customHeight="true" outlineLevel="0" collapsed="false">
      <c r="A16" s="194" t="s">
        <v>93</v>
      </c>
      <c r="B16" s="230" t="n">
        <v>1100</v>
      </c>
      <c r="C16" s="230" t="n">
        <v>9.09</v>
      </c>
      <c r="D16" s="231" t="n">
        <v>0.5</v>
      </c>
      <c r="E16" s="232" t="n">
        <f aca="false">F16+G16+H16</f>
        <v>0</v>
      </c>
      <c r="F16" s="232" t="n">
        <v>0</v>
      </c>
      <c r="G16" s="232" t="n">
        <v>0</v>
      </c>
      <c r="H16" s="232" t="n">
        <v>0</v>
      </c>
      <c r="I16" s="233" t="n">
        <f aca="false">E16*D16</f>
        <v>0</v>
      </c>
      <c r="J16" s="233" t="n">
        <f aca="false">F16*D16</f>
        <v>0</v>
      </c>
      <c r="K16" s="233" t="n">
        <f aca="false">G16*D16</f>
        <v>0</v>
      </c>
      <c r="L16" s="233" t="n">
        <f aca="false">I16-J16-K16</f>
        <v>0</v>
      </c>
      <c r="M16" s="217" t="n">
        <f aca="false">J16*$G$29/100</f>
        <v>0</v>
      </c>
      <c r="N16" s="217" t="n">
        <f aca="false">J16*$H$29/100+L16*$H$31/1000</f>
        <v>0</v>
      </c>
      <c r="O16" s="217" t="n">
        <f aca="false">J16*$I$29/100+K16*$I$32/100+L16*$I$31/100</f>
        <v>0</v>
      </c>
      <c r="P16" s="234" t="n">
        <v>0.5</v>
      </c>
      <c r="Q16" s="64" t="n">
        <f aca="false">SUM(R16:U16)</f>
        <v>4.7</v>
      </c>
      <c r="R16" s="232" t="n">
        <v>0</v>
      </c>
      <c r="S16" s="232" t="n">
        <v>0</v>
      </c>
      <c r="T16" s="232" t="n">
        <v>0</v>
      </c>
      <c r="U16" s="235" t="n">
        <v>4.7</v>
      </c>
      <c r="V16" s="236" t="n">
        <f aca="false">Q16*P16</f>
        <v>2.35</v>
      </c>
      <c r="W16" s="66" t="n">
        <f aca="false">R16*P16</f>
        <v>0</v>
      </c>
      <c r="X16" s="66" t="n">
        <f aca="false">S16*P16</f>
        <v>0</v>
      </c>
      <c r="Y16" s="67" t="n">
        <f aca="false">T16*P16</f>
        <v>0</v>
      </c>
      <c r="Z16" s="66" t="n">
        <f aca="false">V16-W16-X16-Y16</f>
        <v>2.35</v>
      </c>
      <c r="AA16" s="66" t="n">
        <f aca="false">X16*$J$30/100+W16*$J$33/100</f>
        <v>0</v>
      </c>
      <c r="AB16" s="66" t="n">
        <f aca="false">X16*$H$30/100+Z16*$H$31/100+W16*$H$33/100</f>
        <v>1.68717142555363</v>
      </c>
      <c r="AC16" s="66" t="n">
        <f aca="false">X16*$I$30/100+Y16*$I$32/100+Z16*$I$31/100+W16*$I$33/100</f>
        <v>0.662828574446346</v>
      </c>
      <c r="AD16" s="219" t="n">
        <f aca="false">M16</f>
        <v>0</v>
      </c>
      <c r="AE16" s="219" t="n">
        <f aca="false">AA16</f>
        <v>0</v>
      </c>
      <c r="AF16" s="219" t="n">
        <f aca="false">SUM(N16,AB16)</f>
        <v>1.68717142555363</v>
      </c>
      <c r="AG16" s="219" t="n">
        <f aca="false">SUM(O16,AC16)</f>
        <v>0.662828574446346</v>
      </c>
      <c r="AH16" s="231" t="n">
        <v>4.47</v>
      </c>
      <c r="AI16" s="231" t="n">
        <v>4.4</v>
      </c>
      <c r="AJ16" s="231" t="n">
        <v>14.26</v>
      </c>
      <c r="AK16" s="231" t="n">
        <v>74.5</v>
      </c>
      <c r="AL16" s="220" t="n">
        <f aca="false">AH16-AD16</f>
        <v>4.47</v>
      </c>
      <c r="AM16" s="221" t="n">
        <f aca="false">AI16-AE16</f>
        <v>4.4</v>
      </c>
      <c r="AN16" s="221" t="n">
        <f aca="false">AJ16-AF16</f>
        <v>12.5728285744464</v>
      </c>
      <c r="AO16" s="222" t="n">
        <f aca="false">AK16-AG16</f>
        <v>73.8371714255537</v>
      </c>
      <c r="AP16" s="223" t="n">
        <v>0.08</v>
      </c>
      <c r="AQ16" s="223" t="n">
        <v>0.74</v>
      </c>
      <c r="AR16" s="223" t="n">
        <v>0.03</v>
      </c>
      <c r="AS16" s="223" t="n">
        <v>0.25</v>
      </c>
      <c r="AT16" s="223" t="n">
        <v>0.45</v>
      </c>
      <c r="AU16" s="223" t="n">
        <v>0.07</v>
      </c>
      <c r="AV16" s="224" t="n">
        <f aca="false">SUM(AL16:AU16)</f>
        <v>96.9</v>
      </c>
    </row>
    <row r="17" customFormat="false" ht="13.5" hidden="false" customHeight="false" outlineLevel="0" collapsed="false">
      <c r="A17" s="194"/>
      <c r="B17" s="230" t="n">
        <v>1150</v>
      </c>
      <c r="C17" s="230" t="n">
        <v>9.09</v>
      </c>
      <c r="D17" s="231" t="n">
        <v>0.5</v>
      </c>
      <c r="E17" s="232" t="n">
        <f aca="false">F17+G17+H17</f>
        <v>0</v>
      </c>
      <c r="F17" s="232" t="n">
        <v>0</v>
      </c>
      <c r="G17" s="232" t="n">
        <v>0</v>
      </c>
      <c r="H17" s="232" t="n">
        <v>0</v>
      </c>
      <c r="I17" s="233" t="n">
        <f aca="false">E17*D17</f>
        <v>0</v>
      </c>
      <c r="J17" s="233" t="n">
        <f aca="false">F17*D17</f>
        <v>0</v>
      </c>
      <c r="K17" s="233" t="n">
        <f aca="false">G17*D17</f>
        <v>0</v>
      </c>
      <c r="L17" s="233" t="n">
        <f aca="false">I17-J17-K17</f>
        <v>0</v>
      </c>
      <c r="M17" s="217" t="n">
        <f aca="false">J17*$G$29/100</f>
        <v>0</v>
      </c>
      <c r="N17" s="217" t="n">
        <f aca="false">J17*$H$29/100+L17*$H$31/1000</f>
        <v>0</v>
      </c>
      <c r="O17" s="217" t="n">
        <f aca="false">J17*$I$29/100+K17*$I$32/100+L17*$I$31/100</f>
        <v>0</v>
      </c>
      <c r="P17" s="234" t="n">
        <v>0.5</v>
      </c>
      <c r="Q17" s="64" t="n">
        <f aca="false">SUM(R17:U17)</f>
        <v>3.9</v>
      </c>
      <c r="R17" s="64" t="n">
        <v>0</v>
      </c>
      <c r="S17" s="232" t="n">
        <v>0</v>
      </c>
      <c r="T17" s="232" t="n">
        <v>0</v>
      </c>
      <c r="U17" s="235" t="n">
        <v>3.9</v>
      </c>
      <c r="V17" s="236" t="n">
        <f aca="false">Q17*P17</f>
        <v>1.95</v>
      </c>
      <c r="W17" s="66" t="n">
        <f aca="false">R17*P17</f>
        <v>0</v>
      </c>
      <c r="X17" s="66" t="n">
        <f aca="false">S17*P17</f>
        <v>0</v>
      </c>
      <c r="Y17" s="67" t="n">
        <f aca="false">T17*P17</f>
        <v>0</v>
      </c>
      <c r="Z17" s="66" t="n">
        <f aca="false">V17-W17-X17-Y17</f>
        <v>1.95</v>
      </c>
      <c r="AA17" s="66" t="n">
        <f aca="false">X17*$J$30/100+W17*$J$33/100</f>
        <v>0</v>
      </c>
      <c r="AB17" s="66" t="n">
        <f aca="false">X17*$H$30/100+Z17*$H$31/100+W17*$H$33/100</f>
        <v>1.39999331056578</v>
      </c>
      <c r="AC17" s="66" t="n">
        <f aca="false">X17*$I$30/100+Y17*$I$32/100+Z17*$I$31/100+W17*$I$33/100</f>
        <v>0.550006689434202</v>
      </c>
      <c r="AD17" s="219" t="n">
        <f aca="false">M17</f>
        <v>0</v>
      </c>
      <c r="AE17" s="219" t="n">
        <f aca="false">AA17</f>
        <v>0</v>
      </c>
      <c r="AF17" s="219" t="n">
        <f aca="false">SUM(N17,AB17)</f>
        <v>1.39999331056578</v>
      </c>
      <c r="AG17" s="219" t="n">
        <f aca="false">SUM(O17,AC17)</f>
        <v>0.550006689434202</v>
      </c>
      <c r="AH17" s="231" t="n">
        <v>4.47</v>
      </c>
      <c r="AI17" s="231" t="n">
        <v>4.4</v>
      </c>
      <c r="AJ17" s="231" t="n">
        <v>14.26</v>
      </c>
      <c r="AK17" s="231" t="n">
        <v>74.5</v>
      </c>
      <c r="AL17" s="220" t="n">
        <f aca="false">AH17-AD17</f>
        <v>4.47</v>
      </c>
      <c r="AM17" s="221" t="n">
        <f aca="false">AI17-AE17</f>
        <v>4.4</v>
      </c>
      <c r="AN17" s="221" t="n">
        <f aca="false">AJ17-AF17</f>
        <v>12.8600066894342</v>
      </c>
      <c r="AO17" s="222" t="n">
        <f aca="false">AK17-AG17</f>
        <v>73.9499933105658</v>
      </c>
      <c r="AP17" s="223" t="n">
        <v>0.08</v>
      </c>
      <c r="AQ17" s="223" t="n">
        <v>0.74</v>
      </c>
      <c r="AR17" s="223" t="n">
        <v>0.03</v>
      </c>
      <c r="AS17" s="223" t="n">
        <v>0.25</v>
      </c>
      <c r="AT17" s="223" t="n">
        <v>0.45</v>
      </c>
      <c r="AU17" s="223" t="n">
        <v>0.07</v>
      </c>
      <c r="AV17" s="224" t="n">
        <f aca="false">SUM(AL17:AU17)</f>
        <v>97.3</v>
      </c>
    </row>
    <row r="18" customFormat="false" ht="13.5" hidden="false" customHeight="false" outlineLevel="0" collapsed="false">
      <c r="A18" s="194"/>
      <c r="B18" s="230" t="n">
        <v>1200</v>
      </c>
      <c r="C18" s="230" t="n">
        <v>9.09</v>
      </c>
      <c r="D18" s="231" t="n">
        <v>0.5</v>
      </c>
      <c r="E18" s="232" t="n">
        <f aca="false">F18+G18+H18</f>
        <v>0</v>
      </c>
      <c r="F18" s="232" t="n">
        <v>0</v>
      </c>
      <c r="G18" s="232" t="n">
        <v>0</v>
      </c>
      <c r="H18" s="232" t="n">
        <v>0</v>
      </c>
      <c r="I18" s="233" t="n">
        <f aca="false">E18*D18</f>
        <v>0</v>
      </c>
      <c r="J18" s="233" t="n">
        <f aca="false">F18*D18</f>
        <v>0</v>
      </c>
      <c r="K18" s="233" t="n">
        <f aca="false">G18*D18</f>
        <v>0</v>
      </c>
      <c r="L18" s="233" t="n">
        <f aca="false">I18-J18-K18</f>
        <v>0</v>
      </c>
      <c r="M18" s="217" t="n">
        <f aca="false">J18*$G$29/100</f>
        <v>0</v>
      </c>
      <c r="N18" s="217" t="n">
        <f aca="false">J18*$H$29/100+L18*$H$31/1000</f>
        <v>0</v>
      </c>
      <c r="O18" s="217" t="n">
        <f aca="false">J18*$I$29/100+K18*$I$32/100+L18*$I$31/100</f>
        <v>0</v>
      </c>
      <c r="P18" s="234" t="n">
        <v>0.5</v>
      </c>
      <c r="Q18" s="64" t="n">
        <f aca="false">SUM(R18:U18)</f>
        <v>3</v>
      </c>
      <c r="R18" s="64" t="n">
        <v>0</v>
      </c>
      <c r="S18" s="232" t="n">
        <v>0</v>
      </c>
      <c r="T18" s="232" t="n">
        <v>0</v>
      </c>
      <c r="U18" s="235" t="n">
        <v>3</v>
      </c>
      <c r="V18" s="236" t="n">
        <f aca="false">Q18*P18</f>
        <v>1.5</v>
      </c>
      <c r="W18" s="66" t="n">
        <f aca="false">R18*P18</f>
        <v>0</v>
      </c>
      <c r="X18" s="66" t="n">
        <f aca="false">S18*P18</f>
        <v>0</v>
      </c>
      <c r="Y18" s="67" t="n">
        <f aca="false">T18*P18</f>
        <v>0</v>
      </c>
      <c r="Z18" s="66" t="n">
        <f aca="false">V18-W18-X18-Y18</f>
        <v>1.5</v>
      </c>
      <c r="AA18" s="66" t="n">
        <f aca="false">X18*$J$30/100+W18*$J$33/100</f>
        <v>0</v>
      </c>
      <c r="AB18" s="66" t="n">
        <f aca="false">X18*$H$30/100+Z18*$H$31/100+W18*$H$33/100</f>
        <v>1.07691793120444</v>
      </c>
      <c r="AC18" s="66" t="n">
        <f aca="false">X18*$I$30/100+Y18*$I$32/100+Z18*$I$31/100+W18*$I$33/100</f>
        <v>0.42308206879554</v>
      </c>
      <c r="AD18" s="219" t="n">
        <f aca="false">M18</f>
        <v>0</v>
      </c>
      <c r="AE18" s="219" t="n">
        <f aca="false">AA18</f>
        <v>0</v>
      </c>
      <c r="AF18" s="219" t="n">
        <f aca="false">SUM(N18,AB18)</f>
        <v>1.07691793120444</v>
      </c>
      <c r="AG18" s="219" t="n">
        <f aca="false">SUM(O18,AC18)</f>
        <v>0.42308206879554</v>
      </c>
      <c r="AH18" s="231" t="n">
        <v>4.47</v>
      </c>
      <c r="AI18" s="231" t="n">
        <v>4.4</v>
      </c>
      <c r="AJ18" s="231" t="n">
        <v>14.26</v>
      </c>
      <c r="AK18" s="231" t="n">
        <v>74.5</v>
      </c>
      <c r="AL18" s="220" t="n">
        <f aca="false">AH18-AD18</f>
        <v>4.47</v>
      </c>
      <c r="AM18" s="221" t="n">
        <f aca="false">AI18-AE18</f>
        <v>4.4</v>
      </c>
      <c r="AN18" s="221" t="n">
        <f aca="false">AJ18-AF18</f>
        <v>13.1830820687956</v>
      </c>
      <c r="AO18" s="222" t="n">
        <f aca="false">AK18-AG18</f>
        <v>74.0769179312045</v>
      </c>
      <c r="AP18" s="223" t="n">
        <v>0.08</v>
      </c>
      <c r="AQ18" s="223" t="n">
        <v>0.74</v>
      </c>
      <c r="AR18" s="223" t="n">
        <v>0.03</v>
      </c>
      <c r="AS18" s="223" t="n">
        <v>0.25</v>
      </c>
      <c r="AT18" s="223" t="n">
        <v>0.45</v>
      </c>
      <c r="AU18" s="223" t="n">
        <v>0.07</v>
      </c>
      <c r="AV18" s="224" t="n">
        <f aca="false">SUM(AL18:AU18)</f>
        <v>97.75</v>
      </c>
    </row>
    <row r="19" customFormat="false" ht="13.5" hidden="false" customHeight="true" outlineLevel="0" collapsed="false">
      <c r="A19" s="30" t="s">
        <v>65</v>
      </c>
      <c r="B19" s="232" t="n">
        <v>1100</v>
      </c>
      <c r="C19" s="232" t="n">
        <v>8.55</v>
      </c>
      <c r="D19" s="232" t="n">
        <v>0.43</v>
      </c>
      <c r="E19" s="232" t="n">
        <f aca="false">F19+G19+H19</f>
        <v>0</v>
      </c>
      <c r="F19" s="232" t="n">
        <v>0</v>
      </c>
      <c r="G19" s="232" t="n">
        <v>0</v>
      </c>
      <c r="H19" s="232" t="n">
        <v>0</v>
      </c>
      <c r="I19" s="233" t="n">
        <f aca="false">E19*D19</f>
        <v>0</v>
      </c>
      <c r="J19" s="233" t="n">
        <f aca="false">F19*D19</f>
        <v>0</v>
      </c>
      <c r="K19" s="233" t="n">
        <f aca="false">G19*D19</f>
        <v>0</v>
      </c>
      <c r="L19" s="233" t="n">
        <f aca="false">I19-J19-K19</f>
        <v>0</v>
      </c>
      <c r="M19" s="217" t="n">
        <f aca="false">J19*$G$29/100</f>
        <v>0</v>
      </c>
      <c r="N19" s="217" t="n">
        <f aca="false">J19*$H$29/100+L19*$H$31/1000</f>
        <v>0</v>
      </c>
      <c r="O19" s="217" t="n">
        <f aca="false">J19*$I$29/100+K19*$I$32/100+L19*$I$31/100</f>
        <v>0</v>
      </c>
      <c r="P19" s="232" t="n">
        <v>0.57</v>
      </c>
      <c r="Q19" s="64" t="n">
        <f aca="false">SUM(R19:U19)</f>
        <v>3.1</v>
      </c>
      <c r="R19" s="64" t="n">
        <v>0</v>
      </c>
      <c r="S19" s="232" t="n">
        <v>0</v>
      </c>
      <c r="T19" s="232" t="n">
        <v>0</v>
      </c>
      <c r="U19" s="235" t="n">
        <v>3.1</v>
      </c>
      <c r="V19" s="236" t="n">
        <f aca="false">Q19*P19</f>
        <v>1.767</v>
      </c>
      <c r="W19" s="66" t="n">
        <f aca="false">R19*P19</f>
        <v>0</v>
      </c>
      <c r="X19" s="66" t="n">
        <f aca="false">S19*P19</f>
        <v>0</v>
      </c>
      <c r="Y19" s="67" t="n">
        <f aca="false">T19*P19</f>
        <v>0</v>
      </c>
      <c r="Z19" s="66" t="n">
        <f aca="false">V19-W19-X19-Y19</f>
        <v>1.767</v>
      </c>
      <c r="AA19" s="66" t="n">
        <f aca="false">X19*$J$30/100+W19*$J$33/100</f>
        <v>0</v>
      </c>
      <c r="AB19" s="66" t="n">
        <f aca="false">X19*$H$30/100+Z19*$H$31/100+W19*$H$33/100</f>
        <v>1.26860932295884</v>
      </c>
      <c r="AC19" s="66" t="n">
        <f aca="false">X19*$I$30/100+Y19*$I$32/100+Z19*$I$31/100+W19*$I$33/100</f>
        <v>0.498390677041146</v>
      </c>
      <c r="AD19" s="219" t="n">
        <f aca="false">M19</f>
        <v>0</v>
      </c>
      <c r="AE19" s="219" t="n">
        <f aca="false">AA19</f>
        <v>0</v>
      </c>
      <c r="AF19" s="219" t="n">
        <f aca="false">SUM(N19,AB19)</f>
        <v>1.26860932295884</v>
      </c>
      <c r="AG19" s="219" t="n">
        <f aca="false">SUM(O19,AC19)</f>
        <v>0.498390677041146</v>
      </c>
      <c r="AH19" s="234" t="n">
        <v>3.61</v>
      </c>
      <c r="AI19" s="234" t="n">
        <v>4.73</v>
      </c>
      <c r="AJ19" s="234" t="n">
        <v>13.25</v>
      </c>
      <c r="AK19" s="234" t="n">
        <v>75.92</v>
      </c>
      <c r="AL19" s="220" t="n">
        <f aca="false">AH19-AD19</f>
        <v>3.61</v>
      </c>
      <c r="AM19" s="221" t="n">
        <f aca="false">AI19-AE19</f>
        <v>4.73</v>
      </c>
      <c r="AN19" s="221" t="n">
        <f aca="false">AJ19-AF19</f>
        <v>11.9813906770412</v>
      </c>
      <c r="AO19" s="222" t="n">
        <f aca="false">AK19-AG19</f>
        <v>75.4216093229589</v>
      </c>
      <c r="AP19" s="146" t="n">
        <v>0.04</v>
      </c>
      <c r="AQ19" s="223" t="n">
        <v>1.11</v>
      </c>
      <c r="AR19" s="223" t="n">
        <v>0.01</v>
      </c>
      <c r="AS19" s="223" t="n">
        <v>0.19</v>
      </c>
      <c r="AT19" s="223" t="n">
        <v>0.65</v>
      </c>
      <c r="AU19" s="223" t="n">
        <v>0.11</v>
      </c>
      <c r="AV19" s="224" t="n">
        <f aca="false">SUM(AL19:AU19)</f>
        <v>97.853</v>
      </c>
    </row>
    <row r="20" customFormat="false" ht="13.5" hidden="false" customHeight="false" outlineLevel="0" collapsed="false">
      <c r="A20" s="30"/>
      <c r="B20" s="232" t="n">
        <v>1150</v>
      </c>
      <c r="C20" s="232" t="n">
        <v>8.55</v>
      </c>
      <c r="D20" s="232" t="n">
        <v>0.43</v>
      </c>
      <c r="E20" s="232" t="n">
        <f aca="false">F20+G20+H20</f>
        <v>0</v>
      </c>
      <c r="F20" s="232" t="n">
        <v>0</v>
      </c>
      <c r="G20" s="232" t="n">
        <v>0</v>
      </c>
      <c r="H20" s="232" t="n">
        <v>0</v>
      </c>
      <c r="I20" s="233" t="n">
        <f aca="false">E20*D20</f>
        <v>0</v>
      </c>
      <c r="J20" s="233" t="n">
        <f aca="false">F20*D20</f>
        <v>0</v>
      </c>
      <c r="K20" s="233" t="n">
        <f aca="false">G20*D20</f>
        <v>0</v>
      </c>
      <c r="L20" s="233" t="n">
        <f aca="false">I20-J20-K20</f>
        <v>0</v>
      </c>
      <c r="M20" s="217" t="n">
        <f aca="false">J20*$G$29/100</f>
        <v>0</v>
      </c>
      <c r="N20" s="217" t="n">
        <f aca="false">J20*$H$29/100+L20*$H$31/1000</f>
        <v>0</v>
      </c>
      <c r="O20" s="217" t="n">
        <f aca="false">J20*$I$29/100+K20*$I$32/100+L20*$I$31/100</f>
        <v>0</v>
      </c>
      <c r="P20" s="232" t="n">
        <v>0.57</v>
      </c>
      <c r="Q20" s="64" t="n">
        <f aca="false">SUM(R20:U20)</f>
        <v>2.9</v>
      </c>
      <c r="R20" s="64" t="n">
        <v>0</v>
      </c>
      <c r="S20" s="232" t="n">
        <v>0</v>
      </c>
      <c r="T20" s="232" t="n">
        <v>0</v>
      </c>
      <c r="U20" s="235" t="n">
        <v>2.9</v>
      </c>
      <c r="V20" s="236" t="n">
        <f aca="false">Q20*P20</f>
        <v>1.653</v>
      </c>
      <c r="W20" s="66" t="n">
        <f aca="false">R20*P20</f>
        <v>0</v>
      </c>
      <c r="X20" s="66" t="n">
        <f aca="false">S20*P20</f>
        <v>0</v>
      </c>
      <c r="Y20" s="67" t="n">
        <f aca="false">T20*P20</f>
        <v>0</v>
      </c>
      <c r="Z20" s="66" t="n">
        <f aca="false">V20-W20-X20-Y20</f>
        <v>1.653</v>
      </c>
      <c r="AA20" s="66" t="n">
        <f aca="false">X20*$J$30/100+W20*$J$33/100</f>
        <v>0</v>
      </c>
      <c r="AB20" s="66" t="n">
        <f aca="false">X20*$H$30/100+Z20*$H$31/100+W20*$H$33/100</f>
        <v>1.1867635601873</v>
      </c>
      <c r="AC20" s="66" t="n">
        <f aca="false">X20*$I$30/100+Y20*$I$32/100+Z20*$I$31/100+W20*$I$33/100</f>
        <v>0.466236439812685</v>
      </c>
      <c r="AD20" s="219" t="n">
        <f aca="false">M20</f>
        <v>0</v>
      </c>
      <c r="AE20" s="219" t="n">
        <f aca="false">AA20</f>
        <v>0</v>
      </c>
      <c r="AF20" s="219" t="n">
        <f aca="false">SUM(N20,AB20)</f>
        <v>1.1867635601873</v>
      </c>
      <c r="AG20" s="219" t="n">
        <f aca="false">SUM(O20,AC20)</f>
        <v>0.466236439812685</v>
      </c>
      <c r="AH20" s="234" t="n">
        <v>3.61</v>
      </c>
      <c r="AI20" s="234" t="n">
        <v>4.73</v>
      </c>
      <c r="AJ20" s="234" t="n">
        <v>13.25</v>
      </c>
      <c r="AK20" s="234" t="n">
        <v>75.92</v>
      </c>
      <c r="AL20" s="220" t="n">
        <f aca="false">AH20-AD20</f>
        <v>3.61</v>
      </c>
      <c r="AM20" s="221" t="n">
        <f aca="false">AI20-AE20</f>
        <v>4.73</v>
      </c>
      <c r="AN20" s="221" t="n">
        <f aca="false">AJ20-AF20</f>
        <v>12.0632364398127</v>
      </c>
      <c r="AO20" s="222" t="n">
        <f aca="false">AK20-AG20</f>
        <v>75.4537635601873</v>
      </c>
      <c r="AP20" s="146" t="n">
        <v>0.04</v>
      </c>
      <c r="AQ20" s="223" t="n">
        <v>1.11</v>
      </c>
      <c r="AR20" s="223" t="n">
        <v>0.01</v>
      </c>
      <c r="AS20" s="223" t="n">
        <v>0.19</v>
      </c>
      <c r="AT20" s="223" t="n">
        <v>0.65</v>
      </c>
      <c r="AU20" s="223" t="n">
        <v>0.11</v>
      </c>
      <c r="AV20" s="224" t="n">
        <f aca="false">SUM(AL20:AU20)</f>
        <v>97.967</v>
      </c>
    </row>
    <row r="21" customFormat="false" ht="13.5" hidden="false" customHeight="false" outlineLevel="0" collapsed="false">
      <c r="A21" s="30"/>
      <c r="B21" s="232" t="n">
        <v>1200</v>
      </c>
      <c r="C21" s="232" t="n">
        <v>8.55</v>
      </c>
      <c r="D21" s="232" t="n">
        <v>0.43</v>
      </c>
      <c r="E21" s="232" t="n">
        <f aca="false">F21+G21+H21</f>
        <v>0</v>
      </c>
      <c r="F21" s="232" t="n">
        <v>0</v>
      </c>
      <c r="G21" s="232" t="n">
        <v>0</v>
      </c>
      <c r="H21" s="232" t="n">
        <v>0</v>
      </c>
      <c r="I21" s="233" t="n">
        <f aca="false">E21*D21</f>
        <v>0</v>
      </c>
      <c r="J21" s="233" t="n">
        <f aca="false">F21*D21</f>
        <v>0</v>
      </c>
      <c r="K21" s="233" t="n">
        <f aca="false">G21*D21</f>
        <v>0</v>
      </c>
      <c r="L21" s="233" t="n">
        <f aca="false">I21-J21-K21</f>
        <v>0</v>
      </c>
      <c r="M21" s="217" t="n">
        <f aca="false">J21*$G$29/100</f>
        <v>0</v>
      </c>
      <c r="N21" s="217" t="n">
        <f aca="false">J21*$H$29/100+L21*$H$31/1000</f>
        <v>0</v>
      </c>
      <c r="O21" s="217" t="n">
        <f aca="false">J21*$I$29/100+K21*$I$32/100+L21*$I$31/100</f>
        <v>0</v>
      </c>
      <c r="P21" s="232" t="n">
        <v>0.57</v>
      </c>
      <c r="Q21" s="64" t="n">
        <f aca="false">SUM(R21:U21)</f>
        <v>2</v>
      </c>
      <c r="R21" s="64" t="n">
        <v>0</v>
      </c>
      <c r="S21" s="232" t="n">
        <v>0</v>
      </c>
      <c r="T21" s="232" t="n">
        <v>0</v>
      </c>
      <c r="U21" s="235" t="n">
        <v>2</v>
      </c>
      <c r="V21" s="236" t="n">
        <f aca="false">Q21*P21</f>
        <v>1.14</v>
      </c>
      <c r="W21" s="66" t="n">
        <f aca="false">R21*P21</f>
        <v>0</v>
      </c>
      <c r="X21" s="66" t="n">
        <f aca="false">S21*P21</f>
        <v>0</v>
      </c>
      <c r="Y21" s="67" t="n">
        <f aca="false">T21*P21</f>
        <v>0</v>
      </c>
      <c r="Z21" s="66" t="n">
        <f aca="false">V21-W21-X21-Y21</f>
        <v>1.14</v>
      </c>
      <c r="AA21" s="66" t="n">
        <f aca="false">X21*$J$30/100+W21*$J$33/100</f>
        <v>0</v>
      </c>
      <c r="AB21" s="66" t="n">
        <f aca="false">X21*$H$30/100+Z21*$H$31/100+W21*$H$33/100</f>
        <v>0.818457627715378</v>
      </c>
      <c r="AC21" s="66" t="n">
        <f aca="false">X21*$I$30/100+Y21*$I$32/100+Z21*$I$31/100+W21*$I$33/100</f>
        <v>0.32154237228461</v>
      </c>
      <c r="AD21" s="219" t="n">
        <f aca="false">M21</f>
        <v>0</v>
      </c>
      <c r="AE21" s="219" t="n">
        <f aca="false">AA21</f>
        <v>0</v>
      </c>
      <c r="AF21" s="219" t="n">
        <f aca="false">SUM(N21,AB21)</f>
        <v>0.818457627715378</v>
      </c>
      <c r="AG21" s="219" t="n">
        <f aca="false">SUM(O21,AC21)</f>
        <v>0.32154237228461</v>
      </c>
      <c r="AH21" s="234" t="n">
        <v>3.61</v>
      </c>
      <c r="AI21" s="234" t="n">
        <v>4.73</v>
      </c>
      <c r="AJ21" s="234" t="n">
        <v>13.25</v>
      </c>
      <c r="AK21" s="234" t="n">
        <v>75.92</v>
      </c>
      <c r="AL21" s="220" t="n">
        <f aca="false">AH21-AD21</f>
        <v>3.61</v>
      </c>
      <c r="AM21" s="221" t="n">
        <f aca="false">AI21-AE21</f>
        <v>4.73</v>
      </c>
      <c r="AN21" s="221" t="n">
        <f aca="false">AJ21-AF21</f>
        <v>12.4315423722846</v>
      </c>
      <c r="AO21" s="222" t="n">
        <f aca="false">AK21-AG21</f>
        <v>75.5984576277154</v>
      </c>
      <c r="AP21" s="146" t="n">
        <v>0.04</v>
      </c>
      <c r="AQ21" s="223" t="n">
        <v>1.11</v>
      </c>
      <c r="AR21" s="223" t="n">
        <v>0.01</v>
      </c>
      <c r="AS21" s="223" t="n">
        <v>0.19</v>
      </c>
      <c r="AT21" s="223" t="n">
        <v>0.65</v>
      </c>
      <c r="AU21" s="223" t="n">
        <v>0.11</v>
      </c>
      <c r="AV21" s="224" t="n">
        <f aca="false">SUM(AL21:AU21)</f>
        <v>98.48</v>
      </c>
    </row>
    <row r="22" customFormat="false" ht="13.5" hidden="false" customHeight="true" outlineLevel="0" collapsed="false">
      <c r="A22" s="30" t="s">
        <v>94</v>
      </c>
      <c r="B22" s="232" t="n">
        <v>1100</v>
      </c>
      <c r="C22" s="232" t="n">
        <v>5.55</v>
      </c>
      <c r="D22" s="234" t="n">
        <v>0.6</v>
      </c>
      <c r="E22" s="232" t="n">
        <f aca="false">F22+G22+H22</f>
        <v>25.2</v>
      </c>
      <c r="F22" s="232" t="n">
        <v>0</v>
      </c>
      <c r="G22" s="232" t="n">
        <v>25.2</v>
      </c>
      <c r="H22" s="232" t="n">
        <v>0</v>
      </c>
      <c r="I22" s="233" t="n">
        <f aca="false">E22*D22</f>
        <v>15.12</v>
      </c>
      <c r="J22" s="233" t="n">
        <f aca="false">F22*D22</f>
        <v>0</v>
      </c>
      <c r="K22" s="233" t="n">
        <f aca="false">G22*D22</f>
        <v>15.12</v>
      </c>
      <c r="L22" s="233" t="n">
        <f aca="false">I22-J22-K22</f>
        <v>0</v>
      </c>
      <c r="M22" s="217" t="n">
        <f aca="false">J22*$G$29/100</f>
        <v>0</v>
      </c>
      <c r="N22" s="217" t="n">
        <f aca="false">J22*$H$29/100+L22*$H$31/1000</f>
        <v>0</v>
      </c>
      <c r="O22" s="217" t="n">
        <f aca="false">J22*$I$29/100+K22*$I$32/100+L22*$I$31/100</f>
        <v>15.12</v>
      </c>
      <c r="P22" s="234" t="n">
        <v>0.4</v>
      </c>
      <c r="Q22" s="64" t="n">
        <f aca="false">SUM(R22:U22)</f>
        <v>30.4</v>
      </c>
      <c r="R22" s="64" t="n">
        <v>0</v>
      </c>
      <c r="S22" s="232" t="n">
        <v>0</v>
      </c>
      <c r="T22" s="235" t="n">
        <v>27</v>
      </c>
      <c r="U22" s="235" t="n">
        <v>3.4</v>
      </c>
      <c r="V22" s="236" t="n">
        <f aca="false">Q22*P22</f>
        <v>12.16</v>
      </c>
      <c r="W22" s="66" t="n">
        <f aca="false">R22*P22</f>
        <v>0</v>
      </c>
      <c r="X22" s="66" t="n">
        <f aca="false">S22*P22</f>
        <v>0</v>
      </c>
      <c r="Y22" s="67" t="n">
        <f aca="false">T22*P22</f>
        <v>10.8</v>
      </c>
      <c r="Z22" s="66" t="n">
        <f aca="false">V22-W22-X22-Y22</f>
        <v>1.36</v>
      </c>
      <c r="AA22" s="66" t="n">
        <f aca="false">X22*$J$30/100+W22*$J$33/100</f>
        <v>0</v>
      </c>
      <c r="AB22" s="66" t="n">
        <f aca="false">X22*$H$30/100+Z22*$H$31/100+W22*$H$33/100</f>
        <v>0.976405590958696</v>
      </c>
      <c r="AC22" s="66" t="n">
        <f aca="false">X22*$I$30/100+Y22*$I$32/100+Z22*$I$31/100+W22*$I$33/100</f>
        <v>11.1835944090413</v>
      </c>
      <c r="AD22" s="219" t="n">
        <f aca="false">M22</f>
        <v>0</v>
      </c>
      <c r="AE22" s="219" t="n">
        <f aca="false">AA22</f>
        <v>0</v>
      </c>
      <c r="AF22" s="219" t="n">
        <f aca="false">SUM(N22,AB22)</f>
        <v>0.976405590958696</v>
      </c>
      <c r="AG22" s="219" t="n">
        <f aca="false">SUM(O22,AC22)</f>
        <v>26.3035944090413</v>
      </c>
      <c r="AH22" s="234" t="n">
        <v>3.26</v>
      </c>
      <c r="AI22" s="234" t="n">
        <v>2.21</v>
      </c>
      <c r="AJ22" s="234" t="n">
        <v>9.59</v>
      </c>
      <c r="AK22" s="234" t="n">
        <v>83.44</v>
      </c>
      <c r="AL22" s="220" t="n">
        <f aca="false">AH22-AD22</f>
        <v>3.26</v>
      </c>
      <c r="AM22" s="221" t="n">
        <f aca="false">AI22-AE22</f>
        <v>2.21</v>
      </c>
      <c r="AN22" s="221" t="n">
        <f aca="false">AJ22-AF22</f>
        <v>8.6135944090413</v>
      </c>
      <c r="AO22" s="222" t="n">
        <f aca="false">AK22-AG22</f>
        <v>57.1364055909587</v>
      </c>
      <c r="AP22" s="146" t="n">
        <v>0.08</v>
      </c>
      <c r="AQ22" s="223" t="n">
        <v>0.11</v>
      </c>
      <c r="AR22" s="223" t="n">
        <v>0.01</v>
      </c>
      <c r="AS22" s="223" t="n">
        <v>0.17</v>
      </c>
      <c r="AT22" s="223" t="n">
        <v>0.7</v>
      </c>
      <c r="AU22" s="223" t="n">
        <v>0.07</v>
      </c>
      <c r="AV22" s="224" t="n">
        <f aca="false">SUM(AL22:AU22)</f>
        <v>72.36</v>
      </c>
    </row>
    <row r="23" customFormat="false" ht="13.5" hidden="false" customHeight="false" outlineLevel="0" collapsed="false">
      <c r="A23" s="30"/>
      <c r="B23" s="232" t="n">
        <v>1150</v>
      </c>
      <c r="C23" s="232" t="n">
        <v>5.55</v>
      </c>
      <c r="D23" s="234" t="n">
        <v>0.6</v>
      </c>
      <c r="E23" s="232" t="n">
        <f aca="false">F23+G23+H23</f>
        <v>19.5</v>
      </c>
      <c r="F23" s="232" t="n">
        <v>0</v>
      </c>
      <c r="G23" s="232" t="n">
        <v>19.5</v>
      </c>
      <c r="H23" s="232" t="n">
        <v>0</v>
      </c>
      <c r="I23" s="233" t="n">
        <f aca="false">E23*D23</f>
        <v>11.7</v>
      </c>
      <c r="J23" s="233" t="n">
        <f aca="false">F23*D23</f>
        <v>0</v>
      </c>
      <c r="K23" s="233" t="n">
        <f aca="false">G23*D23</f>
        <v>11.7</v>
      </c>
      <c r="L23" s="233" t="n">
        <f aca="false">I23-J23-K23</f>
        <v>0</v>
      </c>
      <c r="M23" s="217" t="n">
        <f aca="false">J23*$G$29/100</f>
        <v>0</v>
      </c>
      <c r="N23" s="217" t="n">
        <f aca="false">J23*$H$29/100+L23*$H$31/1000</f>
        <v>0</v>
      </c>
      <c r="O23" s="217" t="n">
        <f aca="false">J23*$I$29/100+K23*$I$32/100+L23*$I$31/100</f>
        <v>11.7</v>
      </c>
      <c r="P23" s="234" t="n">
        <v>0.4</v>
      </c>
      <c r="Q23" s="64" t="n">
        <f aca="false">SUM(R23:U23)</f>
        <v>24</v>
      </c>
      <c r="R23" s="64" t="n">
        <v>0</v>
      </c>
      <c r="S23" s="232" t="n">
        <v>0</v>
      </c>
      <c r="T23" s="235" t="n">
        <v>21</v>
      </c>
      <c r="U23" s="235" t="n">
        <v>3</v>
      </c>
      <c r="V23" s="236" t="n">
        <f aca="false">Q23*P23</f>
        <v>9.6</v>
      </c>
      <c r="W23" s="66" t="n">
        <f aca="false">R23*P23</f>
        <v>0</v>
      </c>
      <c r="X23" s="66" t="n">
        <f aca="false">S23*P23</f>
        <v>0</v>
      </c>
      <c r="Y23" s="67" t="n">
        <f aca="false">T23*P23</f>
        <v>8.4</v>
      </c>
      <c r="Z23" s="66" t="n">
        <f aca="false">V23-W23-X23-Y23</f>
        <v>1.2</v>
      </c>
      <c r="AA23" s="66" t="n">
        <f aca="false">X23*$J$30/100+W23*$J$33/100</f>
        <v>0</v>
      </c>
      <c r="AB23" s="66" t="n">
        <f aca="false">X23*$H$30/100+Z23*$H$31/100+W23*$H$33/100</f>
        <v>0.861534344963557</v>
      </c>
      <c r="AC23" s="66" t="n">
        <f aca="false">X23*$I$30/100+Y23*$I$32/100+Z23*$I$31/100+W23*$I$33/100</f>
        <v>8.73846565503643</v>
      </c>
      <c r="AD23" s="219" t="n">
        <f aca="false">M23</f>
        <v>0</v>
      </c>
      <c r="AE23" s="219" t="n">
        <f aca="false">AA23</f>
        <v>0</v>
      </c>
      <c r="AF23" s="219" t="n">
        <f aca="false">SUM(N23,AB23)</f>
        <v>0.861534344963557</v>
      </c>
      <c r="AG23" s="219" t="n">
        <f aca="false">SUM(O23,AC23)</f>
        <v>20.4384656550364</v>
      </c>
      <c r="AH23" s="234" t="n">
        <v>3.26</v>
      </c>
      <c r="AI23" s="234" t="n">
        <v>2.21</v>
      </c>
      <c r="AJ23" s="234" t="n">
        <v>9.59</v>
      </c>
      <c r="AK23" s="234" t="n">
        <v>83.44</v>
      </c>
      <c r="AL23" s="220" t="n">
        <f aca="false">AH23-AD23</f>
        <v>3.26</v>
      </c>
      <c r="AM23" s="221" t="n">
        <f aca="false">AI23-AE23</f>
        <v>2.21</v>
      </c>
      <c r="AN23" s="221" t="n">
        <f aca="false">AJ23-AF23</f>
        <v>8.72846565503644</v>
      </c>
      <c r="AO23" s="222" t="n">
        <f aca="false">AK23-AG23</f>
        <v>63.0015343449636</v>
      </c>
      <c r="AP23" s="146" t="n">
        <v>0.08</v>
      </c>
      <c r="AQ23" s="223" t="n">
        <v>0.11</v>
      </c>
      <c r="AR23" s="223" t="n">
        <v>0.01</v>
      </c>
      <c r="AS23" s="223" t="n">
        <v>0.17</v>
      </c>
      <c r="AT23" s="223" t="n">
        <v>0.7</v>
      </c>
      <c r="AU23" s="223" t="n">
        <v>0.07</v>
      </c>
      <c r="AV23" s="224" t="n">
        <f aca="false">SUM(AL23:AU23)</f>
        <v>78.34</v>
      </c>
    </row>
    <row r="24" customFormat="false" ht="13.5" hidden="false" customHeight="false" outlineLevel="0" collapsed="false">
      <c r="A24" s="30"/>
      <c r="B24" s="232" t="n">
        <v>1200</v>
      </c>
      <c r="C24" s="232" t="n">
        <v>5.55</v>
      </c>
      <c r="D24" s="234" t="n">
        <v>0.6</v>
      </c>
      <c r="E24" s="232" t="n">
        <f aca="false">F24+G24+H24</f>
        <v>13</v>
      </c>
      <c r="F24" s="232" t="n">
        <v>0</v>
      </c>
      <c r="G24" s="232" t="n">
        <v>13</v>
      </c>
      <c r="H24" s="232" t="n">
        <v>0</v>
      </c>
      <c r="I24" s="233" t="n">
        <f aca="false">E24*D24</f>
        <v>7.8</v>
      </c>
      <c r="J24" s="233" t="n">
        <f aca="false">F24*D24</f>
        <v>0</v>
      </c>
      <c r="K24" s="233" t="n">
        <f aca="false">G24*D24</f>
        <v>7.8</v>
      </c>
      <c r="L24" s="233" t="n">
        <f aca="false">I24-J24-K24</f>
        <v>0</v>
      </c>
      <c r="M24" s="217" t="n">
        <f aca="false">J24*$G$29/100</f>
        <v>0</v>
      </c>
      <c r="N24" s="217" t="n">
        <f aca="false">J24*$H$29/100+L24*$H$31/1000</f>
        <v>0</v>
      </c>
      <c r="O24" s="217" t="n">
        <f aca="false">J24*$I$29/100+K24*$I$32/100+L24*$I$31/100</f>
        <v>7.8</v>
      </c>
      <c r="P24" s="234" t="n">
        <v>0.4</v>
      </c>
      <c r="Q24" s="64" t="n">
        <f aca="false">SUM(R24:U24)</f>
        <v>16.4</v>
      </c>
      <c r="R24" s="64" t="n">
        <v>0</v>
      </c>
      <c r="S24" s="232" t="n">
        <v>0</v>
      </c>
      <c r="T24" s="232" t="n">
        <v>14.2</v>
      </c>
      <c r="U24" s="235" t="n">
        <v>2.2</v>
      </c>
      <c r="V24" s="236" t="n">
        <f aca="false">Q24*P24</f>
        <v>6.56</v>
      </c>
      <c r="W24" s="66" t="n">
        <f aca="false">R24*P24</f>
        <v>0</v>
      </c>
      <c r="X24" s="66" t="n">
        <f aca="false">S24*P24</f>
        <v>0</v>
      </c>
      <c r="Y24" s="67" t="n">
        <f aca="false">T24*P24</f>
        <v>5.68</v>
      </c>
      <c r="Z24" s="66" t="n">
        <f aca="false">V24-W24-X24-Y24</f>
        <v>0.88</v>
      </c>
      <c r="AA24" s="66" t="n">
        <f aca="false">X24*$J$30/100+W24*$J$33/100</f>
        <v>0</v>
      </c>
      <c r="AB24" s="66" t="n">
        <f aca="false">X24*$H$30/100+Z24*$H$31/100+W24*$H$33/100</f>
        <v>0.631791852973274</v>
      </c>
      <c r="AC24" s="66" t="n">
        <f aca="false">X24*$I$30/100+Y24*$I$32/100+Z24*$I$31/100+W24*$I$33/100</f>
        <v>5.92820814702672</v>
      </c>
      <c r="AD24" s="219" t="n">
        <f aca="false">M24</f>
        <v>0</v>
      </c>
      <c r="AE24" s="219" t="n">
        <f aca="false">AA24</f>
        <v>0</v>
      </c>
      <c r="AF24" s="219" t="n">
        <f aca="false">SUM(N24,AB24)</f>
        <v>0.631791852973274</v>
      </c>
      <c r="AG24" s="219" t="n">
        <f aca="false">SUM(O24,AC24)</f>
        <v>13.7282081470267</v>
      </c>
      <c r="AH24" s="234" t="n">
        <v>3.26</v>
      </c>
      <c r="AI24" s="234" t="n">
        <v>2.21</v>
      </c>
      <c r="AJ24" s="234" t="n">
        <v>9.59</v>
      </c>
      <c r="AK24" s="234" t="n">
        <v>83.44</v>
      </c>
      <c r="AL24" s="237" t="n">
        <f aca="false">AH24-AD24</f>
        <v>3.26</v>
      </c>
      <c r="AM24" s="238" t="n">
        <f aca="false">AI24-AE24</f>
        <v>2.21</v>
      </c>
      <c r="AN24" s="238" t="n">
        <f aca="false">AJ24-AF24</f>
        <v>8.95820814702673</v>
      </c>
      <c r="AO24" s="239" t="n">
        <f aca="false">AK24-AG24</f>
        <v>69.7117918529733</v>
      </c>
      <c r="AP24" s="240" t="n">
        <v>0.08</v>
      </c>
      <c r="AQ24" s="241" t="n">
        <v>0.11</v>
      </c>
      <c r="AR24" s="241" t="n">
        <v>0.01</v>
      </c>
      <c r="AS24" s="241" t="n">
        <v>0.17</v>
      </c>
      <c r="AT24" s="241" t="n">
        <v>0.7</v>
      </c>
      <c r="AU24" s="241" t="n">
        <v>0.07</v>
      </c>
      <c r="AV24" s="242" t="n">
        <f aca="false">SUM(AL24:AU24)</f>
        <v>85.28</v>
      </c>
    </row>
    <row r="25" customFormat="false" ht="12.75" hidden="false" customHeight="false" outlineLevel="0" collapsed="false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</row>
    <row r="26" customFormat="false" ht="12.75" hidden="false" customHeight="false" outlineLevel="0" collapsed="false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</row>
    <row r="27" customFormat="false" ht="13.5" hidden="false" customHeight="false" outlineLevel="0" collapsed="false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</row>
    <row r="28" customFormat="false" ht="16.5" hidden="false" customHeight="false" outlineLevel="0" collapsed="false">
      <c r="A28" s="96"/>
      <c r="B28" s="96"/>
      <c r="C28" s="97" t="s">
        <v>37</v>
      </c>
      <c r="D28" s="97"/>
      <c r="E28" s="97"/>
      <c r="F28" s="97"/>
      <c r="G28" s="98" t="s">
        <v>38</v>
      </c>
      <c r="H28" s="98" t="s">
        <v>39</v>
      </c>
      <c r="I28" s="98" t="s">
        <v>40</v>
      </c>
      <c r="J28" s="99" t="s">
        <v>41</v>
      </c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</row>
    <row r="29" customFormat="false" ht="15.75" hidden="false" customHeight="false" outlineLevel="0" collapsed="false">
      <c r="A29" s="96"/>
      <c r="B29" s="96"/>
      <c r="C29" s="243" t="s">
        <v>95</v>
      </c>
      <c r="D29" s="243"/>
      <c r="E29" s="243"/>
      <c r="F29" s="243"/>
      <c r="G29" s="244" t="n">
        <v>11.81808474531</v>
      </c>
      <c r="H29" s="244" t="n">
        <v>19.441425362575</v>
      </c>
      <c r="I29" s="244" t="n">
        <v>68.740489892113</v>
      </c>
      <c r="J29" s="245" t="n">
        <v>0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</row>
    <row r="30" customFormat="false" ht="15.75" hidden="false" customHeight="false" outlineLevel="0" collapsed="false">
      <c r="A30" s="96"/>
      <c r="B30" s="96"/>
      <c r="C30" s="106" t="s">
        <v>47</v>
      </c>
      <c r="D30" s="106"/>
      <c r="E30" s="106"/>
      <c r="F30" s="106"/>
      <c r="G30" s="116" t="n">
        <v>0</v>
      </c>
      <c r="H30" s="116" t="n">
        <v>18.316273187486</v>
      </c>
      <c r="I30" s="116" t="n">
        <v>64.762205878654</v>
      </c>
      <c r="J30" s="117" t="n">
        <v>16.921520933858</v>
      </c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</row>
    <row r="31" customFormat="false" ht="25.5" hidden="false" customHeight="false" outlineLevel="0" collapsed="false">
      <c r="A31" s="96"/>
      <c r="B31" s="96"/>
      <c r="C31" s="106" t="s">
        <v>49</v>
      </c>
      <c r="D31" s="106"/>
      <c r="E31" s="106"/>
      <c r="F31" s="106"/>
      <c r="G31" s="116" t="n">
        <v>0</v>
      </c>
      <c r="H31" s="116" t="n">
        <v>71.794528746963</v>
      </c>
      <c r="I31" s="116" t="n">
        <v>28.205471253036</v>
      </c>
      <c r="J31" s="117" t="n">
        <v>0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144"/>
      <c r="X31" s="144"/>
      <c r="Y31" s="246" t="s">
        <v>46</v>
      </c>
      <c r="Z31" s="212"/>
      <c r="AA31" s="212"/>
      <c r="AB31" s="212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</row>
    <row r="32" customFormat="false" ht="16.5" hidden="false" customHeight="true" outlineLevel="0" collapsed="false">
      <c r="A32" s="96"/>
      <c r="B32" s="96"/>
      <c r="C32" s="106" t="s">
        <v>30</v>
      </c>
      <c r="D32" s="106"/>
      <c r="E32" s="106"/>
      <c r="F32" s="106"/>
      <c r="G32" s="121" t="n">
        <v>0</v>
      </c>
      <c r="H32" s="121" t="n">
        <v>0</v>
      </c>
      <c r="I32" s="121" t="n">
        <v>100</v>
      </c>
      <c r="J32" s="122" t="n">
        <v>0</v>
      </c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247" t="s">
        <v>91</v>
      </c>
      <c r="X32" s="144" t="n">
        <v>1100</v>
      </c>
      <c r="Y32" s="158" t="n">
        <f aca="false">100-SUM(AD10:AG10)</f>
        <v>77.5600000000004</v>
      </c>
      <c r="Z32" s="104"/>
      <c r="AA32" s="104"/>
      <c r="AB32" s="104"/>
      <c r="AC32" s="96"/>
      <c r="AD32" s="96"/>
      <c r="AE32" s="96"/>
      <c r="AF32" s="96"/>
      <c r="AG32" s="96"/>
      <c r="AH32" s="123" t="s">
        <v>50</v>
      </c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</row>
    <row r="33" customFormat="false" ht="16.5" hidden="false" customHeight="true" outlineLevel="0" collapsed="false">
      <c r="A33" s="96"/>
      <c r="B33" s="96"/>
      <c r="C33" s="124" t="s">
        <v>51</v>
      </c>
      <c r="D33" s="124"/>
      <c r="E33" s="124"/>
      <c r="F33" s="124"/>
      <c r="G33" s="125" t="n">
        <v>0</v>
      </c>
      <c r="H33" s="125" t="n">
        <v>23.358839835964</v>
      </c>
      <c r="I33" s="125" t="n">
        <v>55.061055236087</v>
      </c>
      <c r="J33" s="126" t="n">
        <v>21.580104927947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247"/>
      <c r="X33" s="144" t="n">
        <v>1150</v>
      </c>
      <c r="Y33" s="158" t="n">
        <f aca="false">100-SUM(AD11:AG11)</f>
        <v>90.4800000000001</v>
      </c>
      <c r="Z33" s="104"/>
      <c r="AA33" s="104"/>
      <c r="AB33" s="104"/>
      <c r="AC33" s="96"/>
      <c r="AD33" s="96"/>
      <c r="AE33" s="96"/>
      <c r="AF33" s="96"/>
      <c r="AG33" s="161" t="s">
        <v>52</v>
      </c>
      <c r="AH33" s="161"/>
      <c r="AI33" s="130" t="s">
        <v>53</v>
      </c>
      <c r="AJ33" s="131" t="s">
        <v>54</v>
      </c>
      <c r="AK33" s="131"/>
      <c r="AL33" s="131"/>
      <c r="AM33" s="131"/>
      <c r="AN33" s="131"/>
      <c r="AO33" s="131"/>
      <c r="AP33" s="131"/>
      <c r="AQ33" s="131"/>
      <c r="AR33" s="131"/>
      <c r="AS33" s="131"/>
      <c r="AT33" s="132" t="s">
        <v>17</v>
      </c>
    </row>
    <row r="34" customFormat="false" ht="15" hidden="false" customHeight="false" outlineLevel="0" collapsed="false">
      <c r="A34" s="96"/>
      <c r="B34" s="96"/>
      <c r="C34" s="96"/>
      <c r="D34" s="96"/>
      <c r="M34" s="100"/>
      <c r="S34" s="96"/>
      <c r="T34" s="96"/>
      <c r="U34" s="96"/>
      <c r="V34" s="96"/>
      <c r="W34" s="247"/>
      <c r="X34" s="144" t="n">
        <v>1200</v>
      </c>
      <c r="Y34" s="158" t="n">
        <f aca="false">100-SUM(AD12:AG12)</f>
        <v>95.4440000000001</v>
      </c>
      <c r="Z34" s="104"/>
      <c r="AA34" s="104"/>
      <c r="AB34" s="104"/>
      <c r="AC34" s="96"/>
      <c r="AD34" s="96"/>
      <c r="AE34" s="96"/>
      <c r="AF34" s="96"/>
      <c r="AG34" s="161"/>
      <c r="AH34" s="161"/>
      <c r="AI34" s="130"/>
      <c r="AJ34" s="133" t="s">
        <v>9</v>
      </c>
      <c r="AK34" s="133" t="s">
        <v>10</v>
      </c>
      <c r="AL34" s="133" t="s">
        <v>8</v>
      </c>
      <c r="AM34" s="133" t="s">
        <v>7</v>
      </c>
      <c r="AN34" s="134" t="s">
        <v>11</v>
      </c>
      <c r="AO34" s="134" t="s">
        <v>12</v>
      </c>
      <c r="AP34" s="134" t="s">
        <v>13</v>
      </c>
      <c r="AQ34" s="134" t="s">
        <v>14</v>
      </c>
      <c r="AR34" s="134" t="s">
        <v>15</v>
      </c>
      <c r="AS34" s="134" t="s">
        <v>16</v>
      </c>
      <c r="AT34" s="132"/>
    </row>
    <row r="35" customFormat="false" ht="12.75" hidden="false" customHeight="true" outlineLevel="0" collapsed="false">
      <c r="A35" s="96"/>
      <c r="B35" s="96"/>
      <c r="C35" s="96"/>
      <c r="D35" s="96"/>
      <c r="M35" s="113"/>
      <c r="S35" s="96"/>
      <c r="T35" s="96"/>
      <c r="U35" s="96"/>
      <c r="V35" s="96"/>
      <c r="W35" s="247" t="s">
        <v>92</v>
      </c>
      <c r="X35" s="144" t="n">
        <v>1100</v>
      </c>
      <c r="Y35" s="158" t="n">
        <f aca="false">100-SUM(AD13:AG13)</f>
        <v>95.4120000000001</v>
      </c>
      <c r="Z35" s="104"/>
      <c r="AA35" s="104"/>
      <c r="AB35" s="104"/>
      <c r="AC35" s="96"/>
      <c r="AD35" s="96"/>
      <c r="AE35" s="96"/>
      <c r="AF35" s="96"/>
      <c r="AG35" s="248" t="s">
        <v>62</v>
      </c>
      <c r="AH35" s="248"/>
      <c r="AI35" s="138" t="n">
        <v>1100</v>
      </c>
      <c r="AJ35" s="249" t="n">
        <f aca="false">AL10*100/AV10</f>
        <v>5.12720664589821</v>
      </c>
      <c r="AK35" s="249" t="n">
        <f aca="false">AM10*100/AV10</f>
        <v>6.68900409727887</v>
      </c>
      <c r="AL35" s="249" t="n">
        <f aca="false">AN10*100/AV10</f>
        <v>15.365933891357</v>
      </c>
      <c r="AM35" s="249" t="n">
        <f aca="false">AO10*100/AV10</f>
        <v>71.3251243166601</v>
      </c>
      <c r="AN35" s="250" t="n">
        <f aca="false">AP10*100/AV10</f>
        <v>0.0519210799584629</v>
      </c>
      <c r="AO35" s="250" t="n">
        <f aca="false">AQ10*100/AV10</f>
        <v>0.129802699896157</v>
      </c>
      <c r="AP35" s="128" t="n">
        <f aca="false">AR10*100/AV10</f>
        <v>0.0129802699896157</v>
      </c>
      <c r="AQ35" s="94" t="n">
        <f aca="false">AS10*100/AV10</f>
        <v>0.27258566978193</v>
      </c>
      <c r="AR35" s="94" t="n">
        <f aca="false">AT10*100/AV10</f>
        <v>0.830737279335406</v>
      </c>
      <c r="AS35" s="94" t="n">
        <f aca="false">AU10*100/AV10</f>
        <v>0.194704049844236</v>
      </c>
      <c r="AT35" s="95" t="n">
        <f aca="false">SUM(AJ35:AS35)</f>
        <v>100</v>
      </c>
    </row>
    <row r="36" customFormat="false" ht="12.75" hidden="false" customHeight="false" outlineLevel="0" collapsed="false">
      <c r="A36" s="41"/>
      <c r="B36" s="41"/>
      <c r="C36" s="41"/>
      <c r="D36" s="147"/>
      <c r="M36" s="113"/>
      <c r="S36" s="41"/>
      <c r="T36" s="41"/>
      <c r="U36" s="41"/>
      <c r="V36" s="147"/>
      <c r="W36" s="247"/>
      <c r="X36" s="144" t="n">
        <v>1150</v>
      </c>
      <c r="Y36" s="158" t="n">
        <f aca="false">100-SUM(AD14:AG14)</f>
        <v>96.156</v>
      </c>
      <c r="Z36" s="104"/>
      <c r="AA36" s="104"/>
      <c r="AB36" s="104"/>
      <c r="AC36" s="147"/>
      <c r="AD36" s="147"/>
      <c r="AE36" s="147"/>
      <c r="AF36" s="147"/>
      <c r="AG36" s="248"/>
      <c r="AH36" s="248"/>
      <c r="AI36" s="251" t="n">
        <v>1150</v>
      </c>
      <c r="AJ36" s="249" t="n">
        <f aca="false">AL11*100/AV11</f>
        <v>4.39084037349933</v>
      </c>
      <c r="AK36" s="249" t="n">
        <f aca="false">AM11*100/AV11</f>
        <v>7.79532007021415</v>
      </c>
      <c r="AL36" s="249" t="n">
        <f aca="false">AN11*100/AV11</f>
        <v>15.6677897758391</v>
      </c>
      <c r="AM36" s="249" t="n">
        <f aca="false">AO11*100/AV11</f>
        <v>70.8677038489223</v>
      </c>
      <c r="AN36" s="250" t="n">
        <f aca="false">AP11*100/AV11</f>
        <v>0.0444642063139172</v>
      </c>
      <c r="AO36" s="250" t="n">
        <f aca="false">AQ11*100/AV11</f>
        <v>0.111160515784793</v>
      </c>
      <c r="AP36" s="128" t="n">
        <f aca="false">AR11*100/AV11</f>
        <v>0.0111160515784793</v>
      </c>
      <c r="AQ36" s="94" t="n">
        <f aca="false">AS11*100/AV11</f>
        <v>0.233437083148065</v>
      </c>
      <c r="AR36" s="94" t="n">
        <f aca="false">AT11*100/AV11</f>
        <v>0.711427301022676</v>
      </c>
      <c r="AS36" s="94" t="n">
        <f aca="false">AU11*100/AV11</f>
        <v>0.16674077367719</v>
      </c>
      <c r="AT36" s="95" t="n">
        <f aca="false">SUM(AJ36:AS36)</f>
        <v>100</v>
      </c>
      <c r="AU36" s="148"/>
      <c r="AV36" s="148"/>
    </row>
    <row r="37" customFormat="false" ht="13.5" hidden="false" customHeight="false" outlineLevel="0" collapsed="false">
      <c r="A37" s="41"/>
      <c r="B37" s="41"/>
      <c r="C37" s="41"/>
      <c r="D37" s="147"/>
      <c r="M37" s="113"/>
      <c r="S37" s="41"/>
      <c r="T37" s="41"/>
      <c r="U37" s="41"/>
      <c r="V37" s="147"/>
      <c r="W37" s="247"/>
      <c r="X37" s="144" t="n">
        <v>1200</v>
      </c>
      <c r="Y37" s="158" t="n">
        <f aca="false">100-SUM(AD15:AG15)</f>
        <v>96.28</v>
      </c>
      <c r="Z37" s="104"/>
      <c r="AA37" s="104"/>
      <c r="AB37" s="104"/>
      <c r="AC37" s="147"/>
      <c r="AF37" s="147"/>
      <c r="AG37" s="248"/>
      <c r="AH37" s="248"/>
      <c r="AI37" s="149" t="n">
        <v>1200</v>
      </c>
      <c r="AJ37" s="252" t="n">
        <f aca="false">AL12*100/AV12</f>
        <v>4.16122371581476</v>
      </c>
      <c r="AK37" s="252" t="n">
        <f aca="false">AM12*100/AV12</f>
        <v>8.39251461482862</v>
      </c>
      <c r="AL37" s="252" t="n">
        <f aca="false">AN12*100/AV12</f>
        <v>16.3475692548543</v>
      </c>
      <c r="AM37" s="252" t="n">
        <f aca="false">AO12*100/AV12</f>
        <v>69.887196902303</v>
      </c>
      <c r="AN37" s="253" t="n">
        <f aca="false">AP12*100/AV12</f>
        <v>0.0421389743373646</v>
      </c>
      <c r="AO37" s="253" t="n">
        <f aca="false">AQ12*100/AV12</f>
        <v>0.105347435843411</v>
      </c>
      <c r="AP37" s="152" t="n">
        <f aca="false">AR12*100/AV12</f>
        <v>0.0105347435843411</v>
      </c>
      <c r="AQ37" s="254" t="n">
        <f aca="false">AS12*100/AV12</f>
        <v>0.221229615271164</v>
      </c>
      <c r="AR37" s="254" t="n">
        <f aca="false">AT12*100/AV12</f>
        <v>0.674223589397834</v>
      </c>
      <c r="AS37" s="254" t="n">
        <f aca="false">AU12*100/AV12</f>
        <v>0.158021153765117</v>
      </c>
      <c r="AT37" s="255" t="n">
        <f aca="false">SUM(AJ37:AS37)</f>
        <v>100</v>
      </c>
      <c r="AU37" s="148"/>
      <c r="AV37" s="148"/>
    </row>
    <row r="38" customFormat="false" ht="12.75" hidden="false" customHeight="true" outlineLevel="0" collapsed="false">
      <c r="A38" s="38"/>
      <c r="B38" s="38"/>
      <c r="C38" s="41"/>
      <c r="D38" s="147"/>
      <c r="M38" s="113"/>
      <c r="S38" s="41"/>
      <c r="T38" s="41"/>
      <c r="U38" s="41"/>
      <c r="V38" s="147"/>
      <c r="W38" s="247" t="s">
        <v>93</v>
      </c>
      <c r="X38" s="144" t="n">
        <v>1100</v>
      </c>
      <c r="Y38" s="158" t="n">
        <f aca="false">100-SUM(AD16:AG16)</f>
        <v>97.65</v>
      </c>
      <c r="Z38" s="104"/>
      <c r="AA38" s="104"/>
      <c r="AB38" s="104"/>
      <c r="AC38" s="147"/>
      <c r="AF38" s="147"/>
      <c r="AG38" s="154" t="s">
        <v>63</v>
      </c>
      <c r="AH38" s="154"/>
      <c r="AI38" s="138" t="n">
        <v>1100</v>
      </c>
      <c r="AJ38" s="249" t="n">
        <f aca="false">AL13*100/AV13</f>
        <v>4.3266801414856</v>
      </c>
      <c r="AK38" s="249" t="n">
        <f aca="false">AM13*100/AV13</f>
        <v>7.0485703145413</v>
      </c>
      <c r="AL38" s="249" t="n">
        <f aca="false">AN13*100/AV13</f>
        <v>14.6059412235885</v>
      </c>
      <c r="AM38" s="249" t="n">
        <f aca="false">AO13*100/AV13</f>
        <v>72.7029080340447</v>
      </c>
      <c r="AN38" s="250" t="n">
        <f aca="false">AP13*100/AV13</f>
        <v>0.0421088091628769</v>
      </c>
      <c r="AO38" s="250" t="n">
        <f aca="false">AQ13*100/AV13</f>
        <v>0.13685362977935</v>
      </c>
      <c r="AP38" s="128" t="n">
        <f aca="false">AR13*100/AV13</f>
        <v>0.0105272022907192</v>
      </c>
      <c r="AQ38" s="94" t="n">
        <f aca="false">AS13*100/AV13</f>
        <v>0.221071248105103</v>
      </c>
      <c r="AR38" s="94" t="n">
        <f aca="false">AT13*100/AV13</f>
        <v>0.768485767222503</v>
      </c>
      <c r="AS38" s="94" t="n">
        <f aca="false">AU13*100/AV13</f>
        <v>0.13685362977935</v>
      </c>
      <c r="AT38" s="95" t="n">
        <f aca="false">SUM(AJ38:AS38)</f>
        <v>100</v>
      </c>
      <c r="AU38" s="148"/>
      <c r="AV38" s="148"/>
    </row>
    <row r="39" customFormat="false" ht="12.75" hidden="false" customHeight="false" outlineLevel="0" collapsed="false">
      <c r="A39" s="38"/>
      <c r="B39" s="38"/>
      <c r="C39" s="41"/>
      <c r="D39" s="147"/>
      <c r="M39" s="113"/>
      <c r="N39" s="147"/>
      <c r="O39" s="147"/>
      <c r="P39" s="147"/>
      <c r="Q39" s="41"/>
      <c r="R39" s="41"/>
      <c r="S39" s="41"/>
      <c r="T39" s="41"/>
      <c r="U39" s="41"/>
      <c r="V39" s="147"/>
      <c r="W39" s="247"/>
      <c r="X39" s="144" t="n">
        <v>1150</v>
      </c>
      <c r="Y39" s="158" t="n">
        <f aca="false">100-SUM(AD17:AG17)</f>
        <v>98.05</v>
      </c>
      <c r="Z39" s="104"/>
      <c r="AA39" s="104"/>
      <c r="AB39" s="104"/>
      <c r="AC39" s="147"/>
      <c r="AF39" s="147"/>
      <c r="AG39" s="154"/>
      <c r="AH39" s="154"/>
      <c r="AI39" s="251" t="n">
        <v>1150</v>
      </c>
      <c r="AJ39" s="249" t="n">
        <f aca="false">AL14*100/AV14</f>
        <v>4.29305590373527</v>
      </c>
      <c r="AK39" s="249" t="n">
        <f aca="false">AM14*100/AV14</f>
        <v>7.09242082393248</v>
      </c>
      <c r="AL39" s="249" t="n">
        <f aca="false">AN14*100/AV14</f>
        <v>14.7386754355381</v>
      </c>
      <c r="AM39" s="249" t="n">
        <f aca="false">AO14*100/AV14</f>
        <v>72.570173900135</v>
      </c>
      <c r="AN39" s="250" t="n">
        <f aca="false">AP14*100/AV14</f>
        <v>0.0417815659730927</v>
      </c>
      <c r="AO39" s="250" t="n">
        <f aca="false">AQ14*100/AV14</f>
        <v>0.135790089412551</v>
      </c>
      <c r="AP39" s="128" t="n">
        <f aca="false">AR14*100/AV14</f>
        <v>0.0104453914932732</v>
      </c>
      <c r="AQ39" s="94" t="n">
        <f aca="false">AS14*100/AV14</f>
        <v>0.219353221358736</v>
      </c>
      <c r="AR39" s="94" t="n">
        <f aca="false">AT14*100/AV14</f>
        <v>0.762513579008941</v>
      </c>
      <c r="AS39" s="94" t="n">
        <f aca="false">AU14*100/AV14</f>
        <v>0.135790089412551</v>
      </c>
      <c r="AT39" s="95" t="n">
        <f aca="false">SUM(AJ39:AS39)</f>
        <v>100</v>
      </c>
      <c r="AU39" s="148"/>
      <c r="AV39" s="148"/>
    </row>
    <row r="40" customFormat="false" ht="13.5" hidden="false" customHeight="false" outlineLevel="0" collapsed="false">
      <c r="A40" s="41"/>
      <c r="B40" s="41"/>
      <c r="C40" s="41"/>
      <c r="D40" s="147"/>
      <c r="E40" s="41"/>
      <c r="F40" s="41"/>
      <c r="G40" s="41"/>
      <c r="H40" s="41"/>
      <c r="I40" s="147"/>
      <c r="J40" s="147"/>
      <c r="K40" s="41"/>
      <c r="L40" s="147"/>
      <c r="M40" s="147"/>
      <c r="N40" s="147"/>
      <c r="O40" s="147"/>
      <c r="P40" s="147"/>
      <c r="Q40" s="41"/>
      <c r="R40" s="41"/>
      <c r="S40" s="41"/>
      <c r="T40" s="41"/>
      <c r="U40" s="41"/>
      <c r="V40" s="147"/>
      <c r="W40" s="247"/>
      <c r="X40" s="144" t="n">
        <v>1200</v>
      </c>
      <c r="Y40" s="158" t="n">
        <f aca="false">100-SUM(AD18:AG18)</f>
        <v>98.5</v>
      </c>
      <c r="Z40" s="104"/>
      <c r="AA40" s="104"/>
      <c r="AB40" s="104"/>
      <c r="AC40" s="147"/>
      <c r="AF40" s="147"/>
      <c r="AG40" s="154"/>
      <c r="AH40" s="154"/>
      <c r="AI40" s="149" t="n">
        <v>1200</v>
      </c>
      <c r="AJ40" s="252" t="n">
        <f aca="false">AL15*100/AV15</f>
        <v>4.28750260796996</v>
      </c>
      <c r="AK40" s="252" t="n">
        <f aca="false">AM15*100/AV15</f>
        <v>7.08324640100146</v>
      </c>
      <c r="AL40" s="252" t="n">
        <f aca="false">AN15*100/AV15</f>
        <v>14.8124802113634</v>
      </c>
      <c r="AM40" s="252" t="n">
        <f aca="false">AO15*100/AV15</f>
        <v>72.5127858015721</v>
      </c>
      <c r="AN40" s="253" t="n">
        <f aca="false">AP15*100/AV15</f>
        <v>0.0417275192989777</v>
      </c>
      <c r="AO40" s="253" t="n">
        <f aca="false">AQ15*100/AV15</f>
        <v>0.135614437721677</v>
      </c>
      <c r="AP40" s="152" t="n">
        <f aca="false">AR15*100/AV15</f>
        <v>0.0104318798247444</v>
      </c>
      <c r="AQ40" s="254" t="n">
        <f aca="false">AS15*100/AV15</f>
        <v>0.219069476319633</v>
      </c>
      <c r="AR40" s="254" t="n">
        <f aca="false">AT15*100/AV15</f>
        <v>0.761527227206342</v>
      </c>
      <c r="AS40" s="254" t="n">
        <f aca="false">AU15*100/AV15</f>
        <v>0.135614437721677</v>
      </c>
      <c r="AT40" s="255" t="n">
        <f aca="false">SUM(AJ40:AS40)</f>
        <v>100</v>
      </c>
      <c r="AU40" s="148"/>
      <c r="AV40" s="148"/>
    </row>
    <row r="41" customFormat="false" ht="12.75" hidden="false" customHeight="true" outlineLevel="0" collapsed="false">
      <c r="A41" s="41"/>
      <c r="B41" s="41"/>
      <c r="C41" s="41"/>
      <c r="D41" s="147"/>
      <c r="E41" s="41"/>
      <c r="F41" s="41"/>
      <c r="G41" s="41"/>
      <c r="H41" s="41"/>
      <c r="I41" s="147"/>
      <c r="J41" s="147"/>
      <c r="K41" s="41"/>
      <c r="L41" s="147"/>
      <c r="M41" s="147"/>
      <c r="N41" s="147"/>
      <c r="O41" s="147"/>
      <c r="P41" s="147"/>
      <c r="Q41" s="41"/>
      <c r="R41" s="41"/>
      <c r="S41" s="41"/>
      <c r="T41" s="41"/>
      <c r="U41" s="41"/>
      <c r="V41" s="147"/>
      <c r="W41" s="145" t="s">
        <v>65</v>
      </c>
      <c r="X41" s="144" t="n">
        <v>1100</v>
      </c>
      <c r="Y41" s="158" t="n">
        <f aca="false">100-SUM(AD19:AG19)</f>
        <v>98.233</v>
      </c>
      <c r="Z41" s="104"/>
      <c r="AA41" s="104"/>
      <c r="AB41" s="104"/>
      <c r="AC41" s="147"/>
      <c r="AF41" s="147"/>
      <c r="AG41" s="154" t="s">
        <v>64</v>
      </c>
      <c r="AH41" s="154"/>
      <c r="AI41" s="138" t="n">
        <v>1100</v>
      </c>
      <c r="AJ41" s="249" t="n">
        <f aca="false">AL16*100/AV16</f>
        <v>4.61300309597523</v>
      </c>
      <c r="AK41" s="249" t="n">
        <f aca="false">AM16*100/AV16</f>
        <v>4.54076367389061</v>
      </c>
      <c r="AL41" s="249" t="n">
        <f aca="false">AN16*100/AV16</f>
        <v>12.9750552883863</v>
      </c>
      <c r="AM41" s="249" t="n">
        <f aca="false">AO16*100/AV16</f>
        <v>76.1993513163608</v>
      </c>
      <c r="AN41" s="250" t="n">
        <f aca="false">AP16*100/AV16</f>
        <v>0.0825593395252838</v>
      </c>
      <c r="AO41" s="250" t="n">
        <f aca="false">AQ16*100/AV16</f>
        <v>0.763673890608875</v>
      </c>
      <c r="AP41" s="128" t="n">
        <f aca="false">AR16*100/AV16</f>
        <v>0.0309597523219814</v>
      </c>
      <c r="AQ41" s="94" t="n">
        <f aca="false">AS16*100/AV16</f>
        <v>0.257997936016512</v>
      </c>
      <c r="AR41" s="94" t="n">
        <f aca="false">AT16*100/AV16</f>
        <v>0.464396284829721</v>
      </c>
      <c r="AS41" s="94" t="n">
        <f aca="false">AU16*100/AV16</f>
        <v>0.0722394220846233</v>
      </c>
      <c r="AT41" s="95" t="n">
        <f aca="false">SUM(AJ41:AS41)</f>
        <v>100</v>
      </c>
      <c r="AU41" s="148"/>
      <c r="AV41" s="148"/>
    </row>
    <row r="42" customFormat="false" ht="12.75" hidden="false" customHeight="false" outlineLevel="0" collapsed="false">
      <c r="A42" s="41"/>
      <c r="B42" s="41"/>
      <c r="C42" s="41"/>
      <c r="D42" s="147"/>
      <c r="E42" s="41"/>
      <c r="F42" s="41"/>
      <c r="G42" s="41"/>
      <c r="H42" s="41"/>
      <c r="I42" s="147"/>
      <c r="J42" s="147"/>
      <c r="K42" s="41"/>
      <c r="L42" s="147"/>
      <c r="M42" s="147"/>
      <c r="N42" s="147"/>
      <c r="O42" s="147"/>
      <c r="P42" s="147"/>
      <c r="Q42" s="41"/>
      <c r="R42" s="41"/>
      <c r="S42" s="41"/>
      <c r="T42" s="41"/>
      <c r="U42" s="41"/>
      <c r="V42" s="147"/>
      <c r="W42" s="145"/>
      <c r="X42" s="144" t="n">
        <v>1150</v>
      </c>
      <c r="Y42" s="158" t="n">
        <f aca="false">100-SUM(AD20:AG20)</f>
        <v>98.347</v>
      </c>
      <c r="Z42" s="104"/>
      <c r="AA42" s="104"/>
      <c r="AB42" s="104"/>
      <c r="AC42" s="147"/>
      <c r="AF42" s="147"/>
      <c r="AG42" s="154"/>
      <c r="AH42" s="154"/>
      <c r="AI42" s="251" t="n">
        <v>1150</v>
      </c>
      <c r="AJ42" s="249" t="n">
        <f aca="false">AL17*100/AV17</f>
        <v>4.59403905447071</v>
      </c>
      <c r="AK42" s="249" t="n">
        <f aca="false">AM17*100/AV17</f>
        <v>4.52209660842754</v>
      </c>
      <c r="AL42" s="249" t="n">
        <f aca="false">AN17*100/AV17</f>
        <v>13.2168619624195</v>
      </c>
      <c r="AM42" s="249" t="n">
        <f aca="false">AO17*100/AV17</f>
        <v>76.0020486233975</v>
      </c>
      <c r="AN42" s="250" t="n">
        <f aca="false">AP17*100/AV17</f>
        <v>0.0822199383350462</v>
      </c>
      <c r="AO42" s="250" t="n">
        <f aca="false">AQ17*100/AV17</f>
        <v>0.760534429599178</v>
      </c>
      <c r="AP42" s="128" t="n">
        <f aca="false">AR17*100/AV17</f>
        <v>0.0308324768756423</v>
      </c>
      <c r="AQ42" s="94" t="n">
        <f aca="false">AS17*100/AV17</f>
        <v>0.256937307297019</v>
      </c>
      <c r="AR42" s="94" t="n">
        <f aca="false">AT17*100/AV17</f>
        <v>0.462487153134635</v>
      </c>
      <c r="AS42" s="94" t="n">
        <f aca="false">AU17*100/AV17</f>
        <v>0.0719424460431655</v>
      </c>
      <c r="AT42" s="95" t="n">
        <f aca="false">SUM(AJ42:AS42)</f>
        <v>100</v>
      </c>
      <c r="AU42" s="148"/>
      <c r="AV42" s="148"/>
    </row>
    <row r="43" customFormat="false" ht="13.5" hidden="false" customHeight="false" outlineLevel="0" collapsed="false">
      <c r="A43" s="41"/>
      <c r="B43" s="41"/>
      <c r="C43" s="41"/>
      <c r="D43" s="147"/>
      <c r="E43" s="41"/>
      <c r="F43" s="41"/>
      <c r="G43" s="41"/>
      <c r="H43" s="41"/>
      <c r="I43" s="147"/>
      <c r="J43" s="147"/>
      <c r="K43" s="41"/>
      <c r="L43" s="147"/>
      <c r="M43" s="147"/>
      <c r="N43" s="147"/>
      <c r="O43" s="147"/>
      <c r="P43" s="147"/>
      <c r="Q43" s="41"/>
      <c r="R43" s="41"/>
      <c r="S43" s="41"/>
      <c r="T43" s="41"/>
      <c r="U43" s="41"/>
      <c r="V43" s="147"/>
      <c r="W43" s="145"/>
      <c r="X43" s="144" t="n">
        <v>1200</v>
      </c>
      <c r="Y43" s="158" t="n">
        <f aca="false">100-SUM(AD21:AG21)</f>
        <v>98.86</v>
      </c>
      <c r="Z43" s="104"/>
      <c r="AA43" s="104"/>
      <c r="AB43" s="104"/>
      <c r="AC43" s="147"/>
      <c r="AF43" s="147"/>
      <c r="AG43" s="154"/>
      <c r="AH43" s="154"/>
      <c r="AI43" s="149" t="n">
        <v>1200</v>
      </c>
      <c r="AJ43" s="252" t="n">
        <f aca="false">AL18*100/AV18</f>
        <v>4.57289002557545</v>
      </c>
      <c r="AK43" s="252" t="n">
        <f aca="false">AM18*100/AV18</f>
        <v>4.50127877237852</v>
      </c>
      <c r="AL43" s="252" t="n">
        <f aca="false">AN18*100/AV18</f>
        <v>13.4865289706348</v>
      </c>
      <c r="AM43" s="252" t="n">
        <f aca="false">AO18*100/AV18</f>
        <v>75.7820132288537</v>
      </c>
      <c r="AN43" s="253" t="n">
        <f aca="false">AP18*100/AV18</f>
        <v>0.0818414322250639</v>
      </c>
      <c r="AO43" s="253" t="n">
        <f aca="false">AQ18*100/AV18</f>
        <v>0.757033248081841</v>
      </c>
      <c r="AP43" s="152" t="n">
        <f aca="false">AR18*100/AV18</f>
        <v>0.030690537084399</v>
      </c>
      <c r="AQ43" s="254" t="n">
        <f aca="false">AS18*100/AV18</f>
        <v>0.255754475703325</v>
      </c>
      <c r="AR43" s="254" t="n">
        <f aca="false">AT18*100/AV18</f>
        <v>0.460358056265985</v>
      </c>
      <c r="AS43" s="254" t="n">
        <f aca="false">AU18*100/AV18</f>
        <v>0.0716112531969309</v>
      </c>
      <c r="AT43" s="255" t="n">
        <f aca="false">SUM(AJ43:AS43)</f>
        <v>100</v>
      </c>
      <c r="AU43" s="148"/>
      <c r="AV43" s="148"/>
    </row>
    <row r="44" customFormat="false" ht="12.75" hidden="false" customHeight="true" outlineLevel="0" collapsed="false">
      <c r="A44" s="41"/>
      <c r="B44" s="41"/>
      <c r="C44" s="41"/>
      <c r="D44" s="147"/>
      <c r="E44" s="41"/>
      <c r="F44" s="41"/>
      <c r="G44" s="41"/>
      <c r="H44" s="41"/>
      <c r="I44" s="147"/>
      <c r="J44" s="147"/>
      <c r="K44" s="41"/>
      <c r="L44" s="147"/>
      <c r="M44" s="147"/>
      <c r="N44" s="147"/>
      <c r="O44" s="147"/>
      <c r="P44" s="147"/>
      <c r="Q44" s="41"/>
      <c r="R44" s="41"/>
      <c r="S44" s="41"/>
      <c r="T44" s="41"/>
      <c r="U44" s="41"/>
      <c r="V44" s="147"/>
      <c r="W44" s="145" t="s">
        <v>94</v>
      </c>
      <c r="X44" s="144" t="n">
        <v>1100</v>
      </c>
      <c r="Y44" s="158" t="n">
        <f aca="false">100-SUM(AD22:AG22)</f>
        <v>72.72</v>
      </c>
      <c r="Z44" s="104"/>
      <c r="AA44" s="104"/>
      <c r="AB44" s="104"/>
      <c r="AC44" s="147"/>
      <c r="AF44" s="147"/>
      <c r="AG44" s="154" t="s">
        <v>65</v>
      </c>
      <c r="AH44" s="154"/>
      <c r="AI44" s="256" t="n">
        <v>1100</v>
      </c>
      <c r="AJ44" s="249" t="n">
        <f aca="false">AL19*100/AV19</f>
        <v>3.68920728030822</v>
      </c>
      <c r="AK44" s="249" t="n">
        <f aca="false">AM19*100/AV19</f>
        <v>4.83378128417115</v>
      </c>
      <c r="AL44" s="249" t="n">
        <f aca="false">AN19*100/AV19</f>
        <v>12.2442752670242</v>
      </c>
      <c r="AM44" s="249" t="n">
        <f aca="false">AO19*100/AV19</f>
        <v>77.0764405005047</v>
      </c>
      <c r="AN44" s="250" t="n">
        <f aca="false">AP19*100/AV19</f>
        <v>0.0408776429951049</v>
      </c>
      <c r="AO44" s="250" t="n">
        <f aca="false">AQ19*100/AV19</f>
        <v>1.13435459311416</v>
      </c>
      <c r="AP44" s="128" t="n">
        <f aca="false">AR19*100/AV19</f>
        <v>0.0102194107487762</v>
      </c>
      <c r="AQ44" s="94" t="n">
        <f aca="false">AS19*100/AV19</f>
        <v>0.194168804226748</v>
      </c>
      <c r="AR44" s="94" t="n">
        <f aca="false">AT19*100/AV19</f>
        <v>0.664261698670454</v>
      </c>
      <c r="AS44" s="94" t="n">
        <f aca="false">AU19*100/AV19</f>
        <v>0.112413518236538</v>
      </c>
      <c r="AT44" s="95" t="n">
        <f aca="false">SUM(AJ44:AS44)</f>
        <v>100</v>
      </c>
      <c r="AU44" s="148"/>
      <c r="AV44" s="148"/>
    </row>
    <row r="45" customFormat="false" ht="12.75" hidden="false" customHeight="false" outlineLevel="0" collapsed="false">
      <c r="A45" s="41"/>
      <c r="B45" s="41"/>
      <c r="C45" s="41"/>
      <c r="D45" s="147"/>
      <c r="E45" s="41"/>
      <c r="F45" s="41"/>
      <c r="G45" s="41"/>
      <c r="H45" s="41"/>
      <c r="I45" s="147"/>
      <c r="J45" s="147"/>
      <c r="K45" s="41"/>
      <c r="L45" s="147"/>
      <c r="M45" s="147"/>
      <c r="N45" s="147"/>
      <c r="O45" s="147"/>
      <c r="P45" s="147"/>
      <c r="Q45" s="41"/>
      <c r="R45" s="41"/>
      <c r="S45" s="41"/>
      <c r="T45" s="41"/>
      <c r="U45" s="41"/>
      <c r="V45" s="147"/>
      <c r="W45" s="145"/>
      <c r="X45" s="144" t="n">
        <v>1150</v>
      </c>
      <c r="Y45" s="158" t="n">
        <f aca="false">100-SUM(AD23:AG23)</f>
        <v>78.7</v>
      </c>
      <c r="Z45" s="104"/>
      <c r="AA45" s="104"/>
      <c r="AB45" s="104"/>
      <c r="AC45" s="147"/>
      <c r="AF45" s="147"/>
      <c r="AG45" s="154"/>
      <c r="AH45" s="154"/>
      <c r="AI45" s="11" t="n">
        <v>1150</v>
      </c>
      <c r="AJ45" s="249" t="n">
        <f aca="false">AL20*100/AV20</f>
        <v>3.68491430787918</v>
      </c>
      <c r="AK45" s="249" t="n">
        <f aca="false">AM20*100/AV20</f>
        <v>4.82815642001899</v>
      </c>
      <c r="AL45" s="249" t="n">
        <f aca="false">AN20*100/AV20</f>
        <v>12.3135713452619</v>
      </c>
      <c r="AM45" s="249" t="n">
        <f aca="false">AO20*100/AV20</f>
        <v>77.0195714477194</v>
      </c>
      <c r="AN45" s="250" t="n">
        <f aca="false">AP20*100/AV20</f>
        <v>0.0408300754335644</v>
      </c>
      <c r="AO45" s="250" t="n">
        <f aca="false">AQ20*100/AV20</f>
        <v>1.13303459328141</v>
      </c>
      <c r="AP45" s="128" t="n">
        <f aca="false">AR20*100/AV20</f>
        <v>0.0102075188583911</v>
      </c>
      <c r="AQ45" s="94" t="n">
        <f aca="false">AS20*100/AV20</f>
        <v>0.193942858309431</v>
      </c>
      <c r="AR45" s="94" t="n">
        <f aca="false">AT20*100/AV20</f>
        <v>0.663488725795421</v>
      </c>
      <c r="AS45" s="94" t="n">
        <f aca="false">AU20*100/AV20</f>
        <v>0.112282707442302</v>
      </c>
      <c r="AT45" s="95" t="n">
        <f aca="false">SUM(AJ45:AS45)</f>
        <v>100</v>
      </c>
      <c r="AU45" s="148"/>
      <c r="AV45" s="148"/>
    </row>
    <row r="46" customFormat="false" ht="13.5" hidden="false" customHeight="false" outlineLevel="0" collapsed="false">
      <c r="A46" s="41"/>
      <c r="B46" s="257"/>
      <c r="C46" s="257"/>
      <c r="D46" s="258"/>
      <c r="E46" s="257"/>
      <c r="F46" s="257"/>
      <c r="G46" s="41"/>
      <c r="H46" s="257"/>
      <c r="I46" s="258"/>
      <c r="J46" s="258"/>
      <c r="K46" s="257"/>
      <c r="L46" s="258"/>
      <c r="M46" s="258"/>
      <c r="N46" s="258"/>
      <c r="O46" s="258"/>
      <c r="P46" s="258"/>
      <c r="Q46" s="257"/>
      <c r="R46" s="257"/>
      <c r="S46" s="257"/>
      <c r="T46" s="257"/>
      <c r="U46" s="257"/>
      <c r="V46" s="258"/>
      <c r="W46" s="145"/>
      <c r="X46" s="144" t="n">
        <v>1200</v>
      </c>
      <c r="Y46" s="158" t="n">
        <f aca="false">100-SUM(AD24:AG24)</f>
        <v>85.64</v>
      </c>
      <c r="Z46" s="104"/>
      <c r="AA46" s="104"/>
      <c r="AB46" s="104"/>
      <c r="AC46" s="258"/>
      <c r="AD46" s="258"/>
      <c r="AE46" s="258"/>
      <c r="AF46" s="258"/>
      <c r="AG46" s="154"/>
      <c r="AH46" s="154"/>
      <c r="AI46" s="134" t="n">
        <v>1200</v>
      </c>
      <c r="AJ46" s="252" t="n">
        <f aca="false">AL21*100/AV21</f>
        <v>3.66571892770106</v>
      </c>
      <c r="AK46" s="252" t="n">
        <f aca="false">AM21*100/AV21</f>
        <v>4.80300568643379</v>
      </c>
      <c r="AL46" s="252" t="n">
        <f aca="false">AN21*100/AV21</f>
        <v>12.6234183309145</v>
      </c>
      <c r="AM46" s="252" t="n">
        <f aca="false">AO21*100/AV21</f>
        <v>76.7652900362666</v>
      </c>
      <c r="AN46" s="253" t="n">
        <f aca="false">AP21*100/AV21</f>
        <v>0.0406173842404549</v>
      </c>
      <c r="AO46" s="253" t="n">
        <f aca="false">AQ21*100/AV21</f>
        <v>1.12713241267262</v>
      </c>
      <c r="AP46" s="152" t="n">
        <f aca="false">AR21*100/AV21</f>
        <v>0.0101543460601137</v>
      </c>
      <c r="AQ46" s="254" t="n">
        <f aca="false">AS21*100/AV21</f>
        <v>0.192932575142161</v>
      </c>
      <c r="AR46" s="254" t="n">
        <f aca="false">AT21*100/AV21</f>
        <v>0.660032493907392</v>
      </c>
      <c r="AS46" s="254" t="n">
        <f aca="false">AU21*100/AV21</f>
        <v>0.111697806661251</v>
      </c>
      <c r="AT46" s="255" t="n">
        <f aca="false">SUM(AJ46:AS46)</f>
        <v>100</v>
      </c>
      <c r="AU46" s="148"/>
      <c r="AV46" s="148"/>
    </row>
    <row r="47" customFormat="false" ht="12.75" hidden="false" customHeight="true" outlineLevel="0" collapsed="false">
      <c r="A47" s="41"/>
      <c r="B47" s="257"/>
      <c r="C47" s="257"/>
      <c r="D47" s="258"/>
      <c r="E47" s="257"/>
      <c r="F47" s="257"/>
      <c r="G47" s="41"/>
      <c r="H47" s="257"/>
      <c r="I47" s="258"/>
      <c r="J47" s="257"/>
      <c r="K47" s="257"/>
      <c r="L47" s="258"/>
      <c r="M47" s="258"/>
      <c r="N47" s="258"/>
      <c r="O47" s="258"/>
      <c r="P47" s="258"/>
      <c r="Q47" s="257"/>
      <c r="R47" s="257"/>
      <c r="S47" s="257"/>
      <c r="T47" s="257"/>
      <c r="U47" s="257"/>
      <c r="V47" s="258"/>
      <c r="W47" s="258"/>
      <c r="X47" s="258"/>
      <c r="Y47" s="104"/>
      <c r="Z47" s="258"/>
      <c r="AA47" s="104"/>
      <c r="AB47" s="104"/>
      <c r="AC47" s="258"/>
      <c r="AD47" s="258"/>
      <c r="AE47" s="258"/>
      <c r="AF47" s="258"/>
      <c r="AG47" s="259" t="s">
        <v>66</v>
      </c>
      <c r="AH47" s="259"/>
      <c r="AI47" s="256" t="n">
        <v>1100</v>
      </c>
      <c r="AJ47" s="249" t="n">
        <f aca="false">AL22*100/AV22</f>
        <v>4.50525152017689</v>
      </c>
      <c r="AK47" s="249" t="n">
        <f aca="false">AM22*100/AV22</f>
        <v>3.05417357656164</v>
      </c>
      <c r="AL47" s="249" t="n">
        <f aca="false">AN22*100/AV22</f>
        <v>11.9038065354357</v>
      </c>
      <c r="AM47" s="249" t="n">
        <f aca="false">AO22*100/AV22</f>
        <v>78.9613123147577</v>
      </c>
      <c r="AN47" s="250" t="n">
        <f aca="false">AP22*100/AV22</f>
        <v>0.110558319513543</v>
      </c>
      <c r="AO47" s="250" t="n">
        <f aca="false">AQ22*100/AV22</f>
        <v>0.152017689331122</v>
      </c>
      <c r="AP47" s="128" t="n">
        <f aca="false">AR22*100/AV22</f>
        <v>0.0138197899391929</v>
      </c>
      <c r="AQ47" s="94" t="n">
        <f aca="false">AS22*100/AV22</f>
        <v>0.23493642896628</v>
      </c>
      <c r="AR47" s="94" t="n">
        <f aca="false">AT22*100/AV22</f>
        <v>0.967385295743505</v>
      </c>
      <c r="AS47" s="94" t="n">
        <f aca="false">AU22*100/AV22</f>
        <v>0.0967385295743505</v>
      </c>
      <c r="AT47" s="95" t="n">
        <f aca="false">SUM(AJ47:AS47)</f>
        <v>100</v>
      </c>
      <c r="AU47" s="148"/>
      <c r="AV47" s="148"/>
    </row>
    <row r="48" customFormat="false" ht="12.75" hidden="false" customHeight="false" outlineLevel="0" collapsed="false">
      <c r="A48" s="148"/>
      <c r="B48" s="148"/>
      <c r="C48" s="148"/>
      <c r="D48" s="148"/>
      <c r="E48" s="148"/>
      <c r="F48" s="148"/>
      <c r="G48" s="41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04"/>
      <c r="Z48" s="148"/>
      <c r="AA48" s="148"/>
      <c r="AB48" s="148"/>
      <c r="AC48" s="148"/>
      <c r="AD48" s="148"/>
      <c r="AE48" s="148"/>
      <c r="AF48" s="148"/>
      <c r="AG48" s="259"/>
      <c r="AH48" s="259"/>
      <c r="AI48" s="11" t="n">
        <v>1150</v>
      </c>
      <c r="AJ48" s="249" t="n">
        <f aca="false">AL23*100/AV23</f>
        <v>4.1613479703855</v>
      </c>
      <c r="AK48" s="249" t="n">
        <f aca="false">AM23*100/AV23</f>
        <v>2.82103650753127</v>
      </c>
      <c r="AL48" s="249" t="n">
        <f aca="false">AN23*100/AV23</f>
        <v>11.1417738767379</v>
      </c>
      <c r="AM48" s="249" t="n">
        <f aca="false">AO23*100/AV23</f>
        <v>80.4206463428179</v>
      </c>
      <c r="AN48" s="250" t="n">
        <f aca="false">AP23*100/AV23</f>
        <v>0.102118968598417</v>
      </c>
      <c r="AO48" s="250" t="n">
        <f aca="false">AQ23*100/AV23</f>
        <v>0.140413581822824</v>
      </c>
      <c r="AP48" s="128" t="n">
        <f aca="false">AR23*100/AV23</f>
        <v>0.0127648710748021</v>
      </c>
      <c r="AQ48" s="94" t="n">
        <f aca="false">AS23*100/AV23</f>
        <v>0.217002808271636</v>
      </c>
      <c r="AR48" s="94" t="n">
        <f aca="false">AT23*100/AV23</f>
        <v>0.89354097523615</v>
      </c>
      <c r="AS48" s="94" t="n">
        <f aca="false">AU23*100/AV23</f>
        <v>0.089354097523615</v>
      </c>
      <c r="AT48" s="95" t="n">
        <f aca="false">SUM(AJ48:AS48)</f>
        <v>100</v>
      </c>
      <c r="AU48" s="148"/>
      <c r="AV48" s="148"/>
    </row>
    <row r="49" customFormat="false" ht="13.5" hidden="false" customHeight="false" outlineLevel="0" collapsed="false">
      <c r="C49" s="148"/>
      <c r="D49" s="148"/>
      <c r="E49" s="148"/>
      <c r="F49" s="148"/>
      <c r="G49" s="41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04"/>
      <c r="Z49" s="148"/>
      <c r="AA49" s="148"/>
      <c r="AB49" s="148"/>
      <c r="AC49" s="148"/>
      <c r="AD49" s="148"/>
      <c r="AE49" s="148"/>
      <c r="AF49" s="148"/>
      <c r="AG49" s="259"/>
      <c r="AH49" s="259"/>
      <c r="AI49" s="134" t="n">
        <v>1200</v>
      </c>
      <c r="AJ49" s="252" t="n">
        <f aca="false">AL24*100/AV24</f>
        <v>3.82270168855535</v>
      </c>
      <c r="AK49" s="252" t="n">
        <f aca="false">AM24*100/AV24</f>
        <v>2.59146341463415</v>
      </c>
      <c r="AL49" s="252" t="n">
        <f aca="false">AN24*100/AV24</f>
        <v>10.5044654632115</v>
      </c>
      <c r="AM49" s="252" t="n">
        <f aca="false">AO24*100/AV24</f>
        <v>81.7445964504846</v>
      </c>
      <c r="AN49" s="253" t="n">
        <f aca="false">AP24*100/AV24</f>
        <v>0.0938086303939962</v>
      </c>
      <c r="AO49" s="253" t="n">
        <f aca="false">AQ24*100/AV24</f>
        <v>0.128986866791745</v>
      </c>
      <c r="AP49" s="152" t="n">
        <f aca="false">AR24*100/AV24</f>
        <v>0.0117260787992495</v>
      </c>
      <c r="AQ49" s="254" t="n">
        <f aca="false">AS24*100/AV24</f>
        <v>0.199343339587242</v>
      </c>
      <c r="AR49" s="254" t="n">
        <f aca="false">AT24*100/AV24</f>
        <v>0.820825515947467</v>
      </c>
      <c r="AS49" s="254" t="n">
        <f aca="false">AU24*100/AV24</f>
        <v>0.0820825515947467</v>
      </c>
      <c r="AT49" s="255" t="n">
        <f aca="false">SUM(AJ49:AS49)</f>
        <v>100</v>
      </c>
      <c r="AU49" s="148"/>
      <c r="AV49" s="148"/>
    </row>
  </sheetData>
  <mergeCells count="53">
    <mergeCell ref="E2:T2"/>
    <mergeCell ref="A5:A9"/>
    <mergeCell ref="B5:O6"/>
    <mergeCell ref="P5:AC6"/>
    <mergeCell ref="AD5:AG8"/>
    <mergeCell ref="AH5:AK8"/>
    <mergeCell ref="AL5:AV8"/>
    <mergeCell ref="B7:B9"/>
    <mergeCell ref="C7:C9"/>
    <mergeCell ref="D7:D9"/>
    <mergeCell ref="E7:E9"/>
    <mergeCell ref="F7:H8"/>
    <mergeCell ref="I7:I9"/>
    <mergeCell ref="J7:L8"/>
    <mergeCell ref="M7:O8"/>
    <mergeCell ref="P7:P9"/>
    <mergeCell ref="Q7:Q9"/>
    <mergeCell ref="R7:U8"/>
    <mergeCell ref="V7:V9"/>
    <mergeCell ref="W7:Z8"/>
    <mergeCell ref="AA7:AC8"/>
    <mergeCell ref="A10:A12"/>
    <mergeCell ref="A13:A15"/>
    <mergeCell ref="A16:A18"/>
    <mergeCell ref="A19:A21"/>
    <mergeCell ref="A22:A24"/>
    <mergeCell ref="C28:F28"/>
    <mergeCell ref="C29:F29"/>
    <mergeCell ref="C30:F30"/>
    <mergeCell ref="C31:F31"/>
    <mergeCell ref="C32:F32"/>
    <mergeCell ref="W32:W34"/>
    <mergeCell ref="AH32:AS32"/>
    <mergeCell ref="C33:F33"/>
    <mergeCell ref="AG33:AH34"/>
    <mergeCell ref="AI33:AI34"/>
    <mergeCell ref="AJ33:AS33"/>
    <mergeCell ref="AT33:AT34"/>
    <mergeCell ref="W35:W37"/>
    <mergeCell ref="AG35:AH37"/>
    <mergeCell ref="A36:A37"/>
    <mergeCell ref="A38:A39"/>
    <mergeCell ref="W38:W40"/>
    <mergeCell ref="AG38:AH40"/>
    <mergeCell ref="A40:A41"/>
    <mergeCell ref="W41:W43"/>
    <mergeCell ref="AG41:AH43"/>
    <mergeCell ref="A42:A43"/>
    <mergeCell ref="A44:A45"/>
    <mergeCell ref="W44:W46"/>
    <mergeCell ref="AG44:AH46"/>
    <mergeCell ref="A46:A47"/>
    <mergeCell ref="AG47:AH4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2009-01-21T13:35:36Z</dcterms:created>
  <dc:creator>otrnotebook</dc:creator>
  <dc:language>en-US</dc:language>
  <dcterms:modified xsi:type="dcterms:W3CDTF">2015-10-21T18:27:43Z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